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01 Míla\VĚRA\žoček-kotelna\"/>
    </mc:Choice>
  </mc:AlternateContent>
  <xr:revisionPtr revIDLastSave="0" documentId="13_ncr:1_{BD99A9EF-0903-4529-BC20-60D9064097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oupisStavebníchPrací a Dodáv. " sheetId="10" r:id="rId1"/>
    <sheet name=" ROZPOČET fin" sheetId="17" r:id="rId2"/>
    <sheet name="titl SSPD" sheetId="19" r:id="rId3"/>
    <sheet name=" titl ROZ" sheetId="4" r:id="rId4"/>
  </sheets>
  <definedNames>
    <definedName name="_xlnm.Print_Titles" localSheetId="0">'SoupisStavebníchPrací a Dodáv. '!$35:$35</definedName>
    <definedName name="_xlnm.Print_Area" localSheetId="0">'SoupisStavebníchPrací a Dodáv. '!$A$1:$I$801</definedName>
  </definedNames>
  <calcPr calcId="181029"/>
</workbook>
</file>

<file path=xl/calcChain.xml><?xml version="1.0" encoding="utf-8"?>
<calcChain xmlns="http://schemas.openxmlformats.org/spreadsheetml/2006/main">
  <c r="G605" i="10" l="1"/>
  <c r="G615" i="10"/>
  <c r="H801" i="10"/>
  <c r="F803" i="17"/>
  <c r="H803" i="17" s="1"/>
  <c r="H802" i="17"/>
  <c r="H801" i="17"/>
  <c r="G801" i="17"/>
  <c r="H800" i="17"/>
  <c r="H799" i="17"/>
  <c r="H798" i="17"/>
  <c r="G798" i="17"/>
  <c r="H797" i="17"/>
  <c r="H796" i="17"/>
  <c r="H794" i="17"/>
  <c r="H793" i="17"/>
  <c r="H792" i="17"/>
  <c r="H791" i="17"/>
  <c r="H789" i="17"/>
  <c r="H788" i="17"/>
  <c r="H785" i="17"/>
  <c r="H784" i="17"/>
  <c r="H783" i="17" s="1"/>
  <c r="H20" i="17" s="1"/>
  <c r="F784" i="17"/>
  <c r="H779" i="17"/>
  <c r="H777" i="17"/>
  <c r="H776" i="17"/>
  <c r="H775" i="17"/>
  <c r="H774" i="17" s="1"/>
  <c r="H772" i="17"/>
  <c r="H770" i="17"/>
  <c r="H769" i="17"/>
  <c r="H765" i="17" s="1"/>
  <c r="H767" i="17"/>
  <c r="H759" i="17"/>
  <c r="H758" i="17"/>
  <c r="F760" i="17" s="1"/>
  <c r="H760" i="17" s="1"/>
  <c r="I752" i="17"/>
  <c r="H752" i="17"/>
  <c r="I751" i="17"/>
  <c r="H751" i="17"/>
  <c r="I750" i="17"/>
  <c r="H750" i="17"/>
  <c r="I749" i="17"/>
  <c r="H749" i="17"/>
  <c r="I748" i="17"/>
  <c r="H748" i="17"/>
  <c r="I747" i="17"/>
  <c r="I745" i="17" s="1"/>
  <c r="H747" i="17"/>
  <c r="G753" i="17" s="1"/>
  <c r="H753" i="17" s="1"/>
  <c r="H743" i="17"/>
  <c r="H739" i="17"/>
  <c r="H738" i="17"/>
  <c r="H737" i="17"/>
  <c r="H736" i="17"/>
  <c r="H735" i="17"/>
  <c r="H734" i="17"/>
  <c r="F733" i="17"/>
  <c r="H733" i="17" s="1"/>
  <c r="H732" i="17"/>
  <c r="H730" i="17"/>
  <c r="H728" i="17"/>
  <c r="H727" i="17"/>
  <c r="H726" i="17"/>
  <c r="H725" i="17"/>
  <c r="H724" i="17"/>
  <c r="H723" i="17"/>
  <c r="H722" i="17"/>
  <c r="G722" i="17"/>
  <c r="G721" i="17"/>
  <c r="H721" i="17" s="1"/>
  <c r="H720" i="17"/>
  <c r="G720" i="17"/>
  <c r="G719" i="17"/>
  <c r="H719" i="17" s="1"/>
  <c r="H718" i="17"/>
  <c r="H717" i="17"/>
  <c r="H716" i="17"/>
  <c r="H715" i="17"/>
  <c r="H712" i="17"/>
  <c r="H711" i="17"/>
  <c r="H709" i="17"/>
  <c r="H708" i="17"/>
  <c r="H707" i="17"/>
  <c r="H704" i="17"/>
  <c r="H703" i="17"/>
  <c r="H702" i="17"/>
  <c r="H701" i="17"/>
  <c r="H700" i="17"/>
  <c r="H699" i="17"/>
  <c r="F698" i="17"/>
  <c r="H696" i="17"/>
  <c r="H695" i="17"/>
  <c r="H694" i="17"/>
  <c r="H692" i="17"/>
  <c r="H691" i="17"/>
  <c r="H690" i="17"/>
  <c r="H689" i="17"/>
  <c r="H687" i="17"/>
  <c r="H686" i="17"/>
  <c r="H685" i="17"/>
  <c r="H684" i="17"/>
  <c r="H682" i="17"/>
  <c r="H681" i="17"/>
  <c r="H680" i="17"/>
  <c r="H678" i="17"/>
  <c r="H677" i="17"/>
  <c r="H676" i="17"/>
  <c r="H675" i="17"/>
  <c r="H673" i="17"/>
  <c r="H672" i="17"/>
  <c r="H671" i="17"/>
  <c r="H670" i="17"/>
  <c r="H668" i="17"/>
  <c r="H667" i="17"/>
  <c r="H665" i="17"/>
  <c r="H664" i="17"/>
  <c r="G740" i="17" s="1"/>
  <c r="H740" i="17" s="1"/>
  <c r="F662" i="17"/>
  <c r="G660" i="17"/>
  <c r="H660" i="17" s="1"/>
  <c r="G659" i="17"/>
  <c r="H659" i="17" s="1"/>
  <c r="G657" i="17"/>
  <c r="H657" i="17" s="1"/>
  <c r="G656" i="17"/>
  <c r="H656" i="17" s="1"/>
  <c r="G655" i="17"/>
  <c r="H655" i="17" s="1"/>
  <c r="G653" i="17"/>
  <c r="H653" i="17" s="1"/>
  <c r="G652" i="17"/>
  <c r="H652" i="17" s="1"/>
  <c r="G650" i="17"/>
  <c r="H650" i="17" s="1"/>
  <c r="G649" i="17"/>
  <c r="H649" i="17" s="1"/>
  <c r="G647" i="17"/>
  <c r="H647" i="17" s="1"/>
  <c r="G646" i="17"/>
  <c r="H646" i="17" s="1"/>
  <c r="G644" i="17"/>
  <c r="H644" i="17" s="1"/>
  <c r="G643" i="17"/>
  <c r="H643" i="17" s="1"/>
  <c r="G642" i="17"/>
  <c r="H642" i="17" s="1"/>
  <c r="G640" i="17"/>
  <c r="H640" i="17" s="1"/>
  <c r="G639" i="17"/>
  <c r="H639" i="17" s="1"/>
  <c r="G637" i="17"/>
  <c r="H637" i="17" s="1"/>
  <c r="G636" i="17"/>
  <c r="H636" i="17" s="1"/>
  <c r="J634" i="17"/>
  <c r="F634" i="17"/>
  <c r="F630" i="17"/>
  <c r="H630" i="17" s="1"/>
  <c r="F629" i="17"/>
  <c r="H629" i="17" s="1"/>
  <c r="H628" i="17"/>
  <c r="H627" i="17"/>
  <c r="H626" i="17"/>
  <c r="H625" i="17"/>
  <c r="H624" i="17"/>
  <c r="H622" i="17"/>
  <c r="H621" i="17"/>
  <c r="G620" i="17"/>
  <c r="H620" i="17" s="1"/>
  <c r="H619" i="17"/>
  <c r="G619" i="17"/>
  <c r="G618" i="17"/>
  <c r="H618" i="17" s="1"/>
  <c r="H614" i="17"/>
  <c r="F613" i="17"/>
  <c r="H613" i="17" s="1"/>
  <c r="H612" i="17"/>
  <c r="H611" i="17"/>
  <c r="H610" i="17"/>
  <c r="H609" i="17"/>
  <c r="F609" i="17"/>
  <c r="H604" i="17"/>
  <c r="G603" i="17"/>
  <c r="H603" i="17" s="1"/>
  <c r="H597" i="17"/>
  <c r="F596" i="17"/>
  <c r="H596" i="17" s="1"/>
  <c r="F594" i="17"/>
  <c r="F590" i="17"/>
  <c r="F589" i="17"/>
  <c r="F588" i="17"/>
  <c r="F587" i="17"/>
  <c r="F586" i="17"/>
  <c r="F585" i="17"/>
  <c r="F584" i="17"/>
  <c r="F583" i="17"/>
  <c r="F582" i="17"/>
  <c r="F581" i="17"/>
  <c r="F580" i="17"/>
  <c r="F579" i="17"/>
  <c r="F574" i="17"/>
  <c r="F573" i="17"/>
  <c r="F572" i="17"/>
  <c r="F571" i="17"/>
  <c r="F570" i="17"/>
  <c r="F566" i="17" s="1"/>
  <c r="F63" i="17" s="1"/>
  <c r="F569" i="17"/>
  <c r="F563" i="17"/>
  <c r="F562" i="17"/>
  <c r="F561" i="17"/>
  <c r="F560" i="17"/>
  <c r="F559" i="17"/>
  <c r="F558" i="17"/>
  <c r="F557" i="17"/>
  <c r="F556" i="17"/>
  <c r="F555" i="17"/>
  <c r="F552" i="17"/>
  <c r="F551" i="17"/>
  <c r="F550" i="17"/>
  <c r="F549" i="17"/>
  <c r="F546" i="17"/>
  <c r="F545" i="17"/>
  <c r="F544" i="17"/>
  <c r="F543" i="17"/>
  <c r="F540" i="17"/>
  <c r="F539" i="17"/>
  <c r="F538" i="17"/>
  <c r="F535" i="17"/>
  <c r="F534" i="17"/>
  <c r="F533" i="17"/>
  <c r="F532" i="17"/>
  <c r="F531" i="17"/>
  <c r="F529" i="17"/>
  <c r="F62" i="17" s="1"/>
  <c r="F526" i="17"/>
  <c r="F525" i="17"/>
  <c r="F524" i="17"/>
  <c r="F523" i="17"/>
  <c r="F522" i="17"/>
  <c r="F521" i="17"/>
  <c r="F518" i="17"/>
  <c r="F517" i="17"/>
  <c r="F516" i="17"/>
  <c r="F515" i="17"/>
  <c r="F514" i="17"/>
  <c r="F513" i="17"/>
  <c r="F512" i="17"/>
  <c r="F511" i="17"/>
  <c r="F510" i="17"/>
  <c r="F507" i="17"/>
  <c r="F506" i="17"/>
  <c r="F505" i="17"/>
  <c r="F504" i="17"/>
  <c r="F503" i="17"/>
  <c r="F502" i="17"/>
  <c r="F501" i="17"/>
  <c r="F500" i="17"/>
  <c r="F496" i="17"/>
  <c r="F495" i="17"/>
  <c r="F494" i="17"/>
  <c r="F492" i="17"/>
  <c r="F491" i="17"/>
  <c r="F490" i="17"/>
  <c r="F489" i="17"/>
  <c r="F488" i="17"/>
  <c r="F487" i="17"/>
  <c r="F484" i="17"/>
  <c r="F483" i="17"/>
  <c r="F482" i="17"/>
  <c r="F481" i="17"/>
  <c r="F480" i="17"/>
  <c r="F479" i="17"/>
  <c r="F478" i="17"/>
  <c r="F477" i="17"/>
  <c r="F476" i="17"/>
  <c r="F475" i="17"/>
  <c r="F474" i="17"/>
  <c r="F473" i="17"/>
  <c r="F470" i="17"/>
  <c r="F469" i="17"/>
  <c r="F468" i="17"/>
  <c r="F467" i="17"/>
  <c r="F465" i="17" s="1"/>
  <c r="F61" i="17" s="1"/>
  <c r="F462" i="17"/>
  <c r="F461" i="17"/>
  <c r="F460" i="17"/>
  <c r="F459" i="17"/>
  <c r="F458" i="17"/>
  <c r="F457" i="17"/>
  <c r="F456" i="17"/>
  <c r="F455" i="17"/>
  <c r="F454" i="17"/>
  <c r="F451" i="17"/>
  <c r="F450" i="17"/>
  <c r="F449" i="17"/>
  <c r="F448" i="17"/>
  <c r="F445" i="17"/>
  <c r="F444" i="17"/>
  <c r="F443" i="17"/>
  <c r="F442" i="17"/>
  <c r="F441" i="17"/>
  <c r="F438" i="17"/>
  <c r="F437" i="17"/>
  <c r="F436" i="17"/>
  <c r="F435" i="17"/>
  <c r="F434" i="17"/>
  <c r="F431" i="17"/>
  <c r="F430" i="17"/>
  <c r="F429" i="17"/>
  <c r="F428" i="17"/>
  <c r="F427" i="17"/>
  <c r="F426" i="17"/>
  <c r="F423" i="17"/>
  <c r="F422" i="17"/>
  <c r="F421" i="17"/>
  <c r="F419" i="17" s="1"/>
  <c r="F60" i="17" s="1"/>
  <c r="F416" i="17"/>
  <c r="F415" i="17"/>
  <c r="F414" i="17"/>
  <c r="F411" i="17"/>
  <c r="F410" i="17"/>
  <c r="F407" i="17"/>
  <c r="F406" i="17"/>
  <c r="F403" i="17"/>
  <c r="F402" i="17"/>
  <c r="F401" i="17"/>
  <c r="F400" i="17"/>
  <c r="F399" i="17"/>
  <c r="F395" i="17"/>
  <c r="F394" i="17"/>
  <c r="F393" i="17"/>
  <c r="F392" i="17"/>
  <c r="F391" i="17"/>
  <c r="F389" i="17"/>
  <c r="F59" i="17" s="1"/>
  <c r="F386" i="17"/>
  <c r="F385" i="17"/>
  <c r="F384" i="17"/>
  <c r="F383" i="17"/>
  <c r="F382" i="17"/>
  <c r="F381" i="17"/>
  <c r="F378" i="17"/>
  <c r="F377" i="17"/>
  <c r="F374" i="17"/>
  <c r="F373" i="17"/>
  <c r="F372" i="17"/>
  <c r="F368" i="17"/>
  <c r="F367" i="17"/>
  <c r="F366" i="17"/>
  <c r="F363" i="17"/>
  <c r="F362" i="17"/>
  <c r="F361" i="17"/>
  <c r="F360" i="17"/>
  <c r="F359" i="17"/>
  <c r="F358" i="17"/>
  <c r="F356" i="17" s="1"/>
  <c r="F58" i="17" s="1"/>
  <c r="F353" i="17"/>
  <c r="F352" i="17"/>
  <c r="F351" i="17"/>
  <c r="F350" i="17"/>
  <c r="F349" i="17"/>
  <c r="F348" i="17"/>
  <c r="F347" i="17"/>
  <c r="F346" i="17"/>
  <c r="F345" i="17"/>
  <c r="F342" i="17"/>
  <c r="F341" i="17"/>
  <c r="F340" i="17"/>
  <c r="F339" i="17"/>
  <c r="F338" i="17"/>
  <c r="F337" i="17"/>
  <c r="F336" i="17"/>
  <c r="F335" i="17"/>
  <c r="F334" i="17"/>
  <c r="F333" i="17"/>
  <c r="F330" i="17"/>
  <c r="F329" i="17"/>
  <c r="F328" i="17"/>
  <c r="F327" i="17"/>
  <c r="F326" i="17"/>
  <c r="F325" i="17"/>
  <c r="F324" i="17"/>
  <c r="F323" i="17"/>
  <c r="F322" i="17"/>
  <c r="F321" i="17"/>
  <c r="F320" i="17"/>
  <c r="F317" i="17"/>
  <c r="F316" i="17"/>
  <c r="F315" i="17"/>
  <c r="F314" i="17"/>
  <c r="F313" i="17"/>
  <c r="F312" i="17"/>
  <c r="F311" i="17"/>
  <c r="F310" i="17"/>
  <c r="F309" i="17"/>
  <c r="F308" i="17"/>
  <c r="F301" i="17"/>
  <c r="F300" i="17"/>
  <c r="F299" i="17"/>
  <c r="F298" i="17"/>
  <c r="F297" i="17"/>
  <c r="F296" i="17"/>
  <c r="F295" i="17"/>
  <c r="F294" i="17"/>
  <c r="F293" i="17"/>
  <c r="F290" i="17"/>
  <c r="F289" i="17"/>
  <c r="F288" i="17"/>
  <c r="F287" i="17"/>
  <c r="F286" i="17"/>
  <c r="F285" i="17"/>
  <c r="F284" i="17"/>
  <c r="F283" i="17"/>
  <c r="F280" i="17"/>
  <c r="F279" i="17"/>
  <c r="F278" i="17"/>
  <c r="F277" i="17"/>
  <c r="F276" i="17"/>
  <c r="F275" i="17"/>
  <c r="F274" i="17"/>
  <c r="F273" i="17"/>
  <c r="F272" i="17"/>
  <c r="F271" i="17"/>
  <c r="F268" i="17"/>
  <c r="F267" i="17"/>
  <c r="F266" i="17"/>
  <c r="F265" i="17"/>
  <c r="F264" i="17"/>
  <c r="F263" i="17"/>
  <c r="F262" i="17"/>
  <c r="F261" i="17"/>
  <c r="F258" i="17"/>
  <c r="F256" i="17" s="1"/>
  <c r="F57" i="17" s="1"/>
  <c r="F253" i="17"/>
  <c r="F252" i="17"/>
  <c r="F251" i="17"/>
  <c r="F250" i="17"/>
  <c r="F249" i="17"/>
  <c r="F248" i="17"/>
  <c r="F247" i="17"/>
  <c r="F246" i="17"/>
  <c r="F243" i="17"/>
  <c r="F242" i="17"/>
  <c r="F241" i="17"/>
  <c r="F240" i="17"/>
  <c r="F239" i="17"/>
  <c r="F238" i="17"/>
  <c r="F237" i="17"/>
  <c r="F236" i="17"/>
  <c r="F235" i="17"/>
  <c r="F234" i="17"/>
  <c r="F233" i="17"/>
  <c r="F232" i="17"/>
  <c r="F229" i="17"/>
  <c r="F228" i="17"/>
  <c r="F227" i="17"/>
  <c r="F226" i="17"/>
  <c r="F225" i="17"/>
  <c r="F224" i="17"/>
  <c r="F223" i="17"/>
  <c r="F222" i="17"/>
  <c r="F219" i="17"/>
  <c r="F218" i="17"/>
  <c r="F217" i="17"/>
  <c r="F216" i="17"/>
  <c r="F215" i="17"/>
  <c r="F214" i="17"/>
  <c r="F213" i="17"/>
  <c r="F212" i="17"/>
  <c r="F211" i="17"/>
  <c r="F210" i="17"/>
  <c r="F207" i="17"/>
  <c r="F206" i="17"/>
  <c r="F205" i="17"/>
  <c r="F204" i="17"/>
  <c r="F203" i="17"/>
  <c r="F202" i="17"/>
  <c r="F201" i="17"/>
  <c r="F200" i="17"/>
  <c r="F194" i="17"/>
  <c r="F193" i="17"/>
  <c r="F192" i="17"/>
  <c r="F191" i="17"/>
  <c r="F190" i="17"/>
  <c r="F189" i="17"/>
  <c r="F188" i="17"/>
  <c r="F187" i="17"/>
  <c r="F186" i="17"/>
  <c r="F185" i="17"/>
  <c r="F184" i="17"/>
  <c r="F181" i="17"/>
  <c r="F180" i="17"/>
  <c r="F179" i="17"/>
  <c r="F178" i="17"/>
  <c r="F177" i="17"/>
  <c r="F176" i="17"/>
  <c r="F175" i="17"/>
  <c r="F174" i="17"/>
  <c r="F171" i="17"/>
  <c r="F170" i="17"/>
  <c r="F169" i="17"/>
  <c r="F168" i="17"/>
  <c r="F167" i="17"/>
  <c r="F166" i="17"/>
  <c r="F165" i="17"/>
  <c r="F164" i="17"/>
  <c r="F163" i="17"/>
  <c r="F160" i="17"/>
  <c r="F159" i="17"/>
  <c r="F158" i="17"/>
  <c r="F157" i="17"/>
  <c r="F156" i="17"/>
  <c r="F155" i="17"/>
  <c r="F152" i="17"/>
  <c r="F151" i="17"/>
  <c r="F150" i="17"/>
  <c r="F149" i="17"/>
  <c r="F148" i="17"/>
  <c r="F147" i="17"/>
  <c r="F146" i="17"/>
  <c r="F143" i="17" s="1"/>
  <c r="F145" i="17"/>
  <c r="G140" i="17"/>
  <c r="F137" i="17"/>
  <c r="F136" i="17"/>
  <c r="F135" i="17"/>
  <c r="F134" i="17"/>
  <c r="F133" i="17"/>
  <c r="F132" i="17"/>
  <c r="F131" i="17"/>
  <c r="F123" i="17"/>
  <c r="F116" i="17" s="1"/>
  <c r="J110" i="17"/>
  <c r="J109" i="17"/>
  <c r="H98" i="17"/>
  <c r="H97" i="17"/>
  <c r="F97" i="17"/>
  <c r="F96" i="17"/>
  <c r="H96" i="17" s="1"/>
  <c r="H95" i="17"/>
  <c r="F95" i="17"/>
  <c r="F94" i="17"/>
  <c r="H94" i="17" s="1"/>
  <c r="H90" i="17"/>
  <c r="H89" i="17"/>
  <c r="F89" i="17"/>
  <c r="H88" i="17"/>
  <c r="H84" i="17"/>
  <c r="F82" i="17"/>
  <c r="H82" i="17" s="1"/>
  <c r="H81" i="17"/>
  <c r="F79" i="17"/>
  <c r="F78" i="17"/>
  <c r="F77" i="17"/>
  <c r="F76" i="17"/>
  <c r="F75" i="17"/>
  <c r="F74" i="17"/>
  <c r="F73" i="17"/>
  <c r="H73" i="17" s="1"/>
  <c r="F71" i="17"/>
  <c r="F70" i="17"/>
  <c r="F69" i="17"/>
  <c r="F68" i="17"/>
  <c r="F67" i="17"/>
  <c r="F66" i="17"/>
  <c r="F65" i="17"/>
  <c r="H65" i="17" s="1"/>
  <c r="F53" i="17"/>
  <c r="H53" i="17" s="1"/>
  <c r="H50" i="17"/>
  <c r="F50" i="17"/>
  <c r="G48" i="17"/>
  <c r="F48" i="17"/>
  <c r="H48" i="17" s="1"/>
  <c r="G47" i="17"/>
  <c r="F47" i="17"/>
  <c r="H47" i="17" s="1"/>
  <c r="F698" i="10"/>
  <c r="H107" i="10"/>
  <c r="H109" i="10"/>
  <c r="H112" i="10"/>
  <c r="H114" i="10"/>
  <c r="H116" i="10"/>
  <c r="H118" i="10"/>
  <c r="H120" i="10"/>
  <c r="F803" i="10"/>
  <c r="I751" i="10"/>
  <c r="I750" i="10"/>
  <c r="I749" i="10"/>
  <c r="H803" i="10"/>
  <c r="H802" i="10"/>
  <c r="I752" i="10"/>
  <c r="I748" i="10"/>
  <c r="I747" i="10"/>
  <c r="G615" i="17" l="1"/>
  <c r="H615" i="17" s="1"/>
  <c r="F140" i="17"/>
  <c r="F105" i="17" s="1"/>
  <c r="F56" i="17"/>
  <c r="F55" i="17" s="1"/>
  <c r="G605" i="17"/>
  <c r="H605" i="17" s="1"/>
  <c r="H86" i="17"/>
  <c r="H16" i="17" s="1"/>
  <c r="G631" i="17"/>
  <c r="H631" i="17" s="1"/>
  <c r="H787" i="17"/>
  <c r="H24" i="17" s="1"/>
  <c r="F118" i="17"/>
  <c r="H118" i="17" s="1"/>
  <c r="H116" i="17"/>
  <c r="F120" i="17"/>
  <c r="H120" i="17" s="1"/>
  <c r="H763" i="17"/>
  <c r="H19" i="17" s="1"/>
  <c r="G781" i="17"/>
  <c r="H781" i="17" s="1"/>
  <c r="I745" i="10"/>
  <c r="F742" i="17" l="1"/>
  <c r="H742" i="17" s="1"/>
  <c r="H600" i="17" s="1"/>
  <c r="H18" i="17" s="1"/>
  <c r="H55" i="17"/>
  <c r="H44" i="17" s="1"/>
  <c r="H15" i="17" s="1"/>
  <c r="H105" i="17"/>
  <c r="F107" i="17"/>
  <c r="H800" i="10"/>
  <c r="F112" i="17" l="1"/>
  <c r="F109" i="17"/>
  <c r="H109" i="17" s="1"/>
  <c r="F114" i="17"/>
  <c r="H114" i="17" s="1"/>
  <c r="J114" i="17" s="1"/>
  <c r="H107" i="17"/>
  <c r="F634" i="10"/>
  <c r="F662" i="10"/>
  <c r="G140" i="10"/>
  <c r="H785" i="10"/>
  <c r="F50" i="10"/>
  <c r="F386" i="10"/>
  <c r="F352" i="10"/>
  <c r="F784" i="10"/>
  <c r="H784" i="10" s="1"/>
  <c r="H783" i="10" s="1"/>
  <c r="H112" i="17" l="1"/>
  <c r="H102" i="17" s="1"/>
  <c r="H17" i="17" s="1"/>
  <c r="H22" i="17" s="1"/>
  <c r="H27" i="17" s="1"/>
  <c r="J112" i="17"/>
  <c r="H50" i="10"/>
  <c r="H799" i="10"/>
  <c r="H797" i="10"/>
  <c r="H796" i="10"/>
  <c r="H794" i="10"/>
  <c r="H793" i="10"/>
  <c r="H792" i="10"/>
  <c r="H791" i="10"/>
  <c r="H789" i="10"/>
  <c r="H788" i="10"/>
  <c r="H779" i="10"/>
  <c r="H777" i="10"/>
  <c r="H776" i="10"/>
  <c r="H775" i="10"/>
  <c r="H772" i="10"/>
  <c r="H770" i="10"/>
  <c r="H769" i="10"/>
  <c r="H767" i="10"/>
  <c r="H759" i="10"/>
  <c r="H758" i="10"/>
  <c r="G760" i="10" s="1"/>
  <c r="H752" i="10"/>
  <c r="H751" i="10"/>
  <c r="H750" i="10"/>
  <c r="H749" i="10"/>
  <c r="H748" i="10"/>
  <c r="H747" i="10"/>
  <c r="H743" i="10"/>
  <c r="H739" i="10"/>
  <c r="H738" i="10"/>
  <c r="H737" i="10"/>
  <c r="H736" i="10"/>
  <c r="H735" i="10"/>
  <c r="H734" i="10"/>
  <c r="F733" i="10"/>
  <c r="H733" i="10" s="1"/>
  <c r="H732" i="10"/>
  <c r="H730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2" i="10"/>
  <c r="H711" i="10"/>
  <c r="H709" i="10"/>
  <c r="H708" i="10"/>
  <c r="H707" i="10"/>
  <c r="H704" i="10"/>
  <c r="H703" i="10"/>
  <c r="H702" i="10"/>
  <c r="H701" i="10"/>
  <c r="H700" i="10"/>
  <c r="H699" i="10"/>
  <c r="H696" i="10"/>
  <c r="H695" i="10"/>
  <c r="H694" i="10"/>
  <c r="H692" i="10"/>
  <c r="H691" i="10"/>
  <c r="H690" i="10"/>
  <c r="H689" i="10"/>
  <c r="H687" i="10"/>
  <c r="H686" i="10"/>
  <c r="H685" i="10"/>
  <c r="H684" i="10"/>
  <c r="H682" i="10"/>
  <c r="H681" i="10"/>
  <c r="H680" i="10"/>
  <c r="H678" i="10"/>
  <c r="H677" i="10"/>
  <c r="H676" i="10"/>
  <c r="H675" i="10"/>
  <c r="H673" i="10"/>
  <c r="H672" i="10"/>
  <c r="H671" i="10"/>
  <c r="H670" i="10"/>
  <c r="H668" i="10"/>
  <c r="H667" i="10"/>
  <c r="H665" i="10"/>
  <c r="H664" i="10"/>
  <c r="H656" i="10"/>
  <c r="H650" i="10"/>
  <c r="F630" i="10"/>
  <c r="H630" i="10" s="1"/>
  <c r="F629" i="10"/>
  <c r="H628" i="10"/>
  <c r="H627" i="10"/>
  <c r="H626" i="10"/>
  <c r="H625" i="10"/>
  <c r="H624" i="10"/>
  <c r="H622" i="10"/>
  <c r="H621" i="10"/>
  <c r="H619" i="10"/>
  <c r="H614" i="10"/>
  <c r="F613" i="10"/>
  <c r="H613" i="10" s="1"/>
  <c r="H612" i="10"/>
  <c r="H611" i="10"/>
  <c r="H610" i="10"/>
  <c r="F609" i="10"/>
  <c r="H604" i="10"/>
  <c r="H603" i="10"/>
  <c r="H597" i="10"/>
  <c r="F596" i="10"/>
  <c r="F594" i="10"/>
  <c r="F590" i="10"/>
  <c r="F589" i="10"/>
  <c r="F588" i="10"/>
  <c r="F587" i="10"/>
  <c r="F586" i="10"/>
  <c r="F585" i="10"/>
  <c r="F584" i="10"/>
  <c r="F583" i="10"/>
  <c r="F582" i="10"/>
  <c r="F581" i="10"/>
  <c r="F580" i="10"/>
  <c r="F579" i="10"/>
  <c r="F574" i="10"/>
  <c r="F573" i="10"/>
  <c r="F572" i="10"/>
  <c r="F571" i="10"/>
  <c r="F570" i="10"/>
  <c r="F569" i="10"/>
  <c r="F563" i="10"/>
  <c r="F562" i="10"/>
  <c r="F561" i="10"/>
  <c r="F560" i="10"/>
  <c r="F559" i="10"/>
  <c r="F558" i="10"/>
  <c r="F557" i="10"/>
  <c r="F556" i="10"/>
  <c r="F555" i="10"/>
  <c r="F552" i="10"/>
  <c r="F551" i="10"/>
  <c r="F550" i="10"/>
  <c r="F549" i="10"/>
  <c r="F546" i="10"/>
  <c r="F545" i="10"/>
  <c r="F544" i="10"/>
  <c r="F543" i="10"/>
  <c r="F540" i="10"/>
  <c r="F539" i="10"/>
  <c r="F538" i="10"/>
  <c r="F535" i="10"/>
  <c r="F534" i="10"/>
  <c r="F533" i="10"/>
  <c r="F532" i="10"/>
  <c r="F531" i="10"/>
  <c r="F526" i="10"/>
  <c r="F525" i="10"/>
  <c r="F524" i="10"/>
  <c r="F523" i="10"/>
  <c r="F522" i="10"/>
  <c r="F521" i="10"/>
  <c r="F518" i="10"/>
  <c r="F517" i="10"/>
  <c r="F516" i="10"/>
  <c r="F515" i="10"/>
  <c r="F514" i="10"/>
  <c r="F513" i="10"/>
  <c r="F512" i="10"/>
  <c r="F511" i="10"/>
  <c r="F510" i="10"/>
  <c r="F507" i="10"/>
  <c r="F506" i="10"/>
  <c r="F505" i="10"/>
  <c r="F504" i="10"/>
  <c r="F503" i="10"/>
  <c r="F502" i="10"/>
  <c r="F501" i="10"/>
  <c r="F500" i="10"/>
  <c r="F496" i="10"/>
  <c r="F495" i="10"/>
  <c r="F494" i="10"/>
  <c r="F492" i="10"/>
  <c r="F491" i="10"/>
  <c r="F490" i="10"/>
  <c r="F489" i="10"/>
  <c r="F488" i="10"/>
  <c r="F487" i="10"/>
  <c r="F484" i="10"/>
  <c r="F483" i="10"/>
  <c r="F482" i="10"/>
  <c r="F481" i="10"/>
  <c r="F480" i="10"/>
  <c r="F479" i="10"/>
  <c r="F478" i="10"/>
  <c r="F477" i="10"/>
  <c r="F476" i="10"/>
  <c r="F475" i="10"/>
  <c r="F474" i="10"/>
  <c r="F473" i="10"/>
  <c r="F470" i="10"/>
  <c r="F469" i="10"/>
  <c r="F468" i="10"/>
  <c r="F467" i="10"/>
  <c r="F462" i="10"/>
  <c r="F461" i="10"/>
  <c r="F460" i="10"/>
  <c r="F459" i="10"/>
  <c r="F458" i="10"/>
  <c r="F457" i="10"/>
  <c r="F456" i="10"/>
  <c r="F455" i="10"/>
  <c r="F454" i="10"/>
  <c r="F451" i="10"/>
  <c r="F450" i="10"/>
  <c r="F449" i="10"/>
  <c r="F448" i="10"/>
  <c r="F445" i="10"/>
  <c r="F444" i="10"/>
  <c r="F443" i="10"/>
  <c r="F442" i="10"/>
  <c r="F441" i="10"/>
  <c r="F438" i="10"/>
  <c r="F437" i="10"/>
  <c r="F436" i="10"/>
  <c r="F435" i="10"/>
  <c r="F434" i="10"/>
  <c r="F431" i="10"/>
  <c r="F430" i="10"/>
  <c r="F429" i="10"/>
  <c r="F428" i="10"/>
  <c r="F427" i="10"/>
  <c r="F426" i="10"/>
  <c r="F423" i="10"/>
  <c r="F422" i="10"/>
  <c r="F421" i="10"/>
  <c r="F416" i="10"/>
  <c r="F415" i="10"/>
  <c r="F414" i="10"/>
  <c r="F411" i="10"/>
  <c r="F410" i="10"/>
  <c r="F407" i="10"/>
  <c r="F406" i="10"/>
  <c r="F403" i="10"/>
  <c r="F402" i="10"/>
  <c r="F401" i="10"/>
  <c r="F400" i="10"/>
  <c r="F399" i="10"/>
  <c r="F395" i="10"/>
  <c r="F394" i="10"/>
  <c r="F393" i="10"/>
  <c r="F392" i="10"/>
  <c r="F391" i="10"/>
  <c r="F385" i="10"/>
  <c r="F384" i="10"/>
  <c r="F383" i="10"/>
  <c r="F382" i="10"/>
  <c r="F381" i="10"/>
  <c r="F378" i="10"/>
  <c r="F377" i="10"/>
  <c r="F374" i="10"/>
  <c r="F373" i="10"/>
  <c r="F372" i="10"/>
  <c r="F368" i="10"/>
  <c r="F367" i="10"/>
  <c r="F366" i="10"/>
  <c r="F363" i="10"/>
  <c r="F362" i="10"/>
  <c r="F361" i="10"/>
  <c r="F360" i="10"/>
  <c r="F359" i="10"/>
  <c r="F358" i="10"/>
  <c r="F353" i="10"/>
  <c r="F351" i="10"/>
  <c r="F350" i="10"/>
  <c r="F349" i="10"/>
  <c r="F348" i="10"/>
  <c r="F347" i="10"/>
  <c r="F346" i="10"/>
  <c r="F345" i="10"/>
  <c r="F342" i="10"/>
  <c r="F341" i="10"/>
  <c r="F340" i="10"/>
  <c r="F339" i="10"/>
  <c r="F338" i="10"/>
  <c r="F337" i="10"/>
  <c r="F336" i="10"/>
  <c r="F335" i="10"/>
  <c r="F334" i="10"/>
  <c r="F333" i="10"/>
  <c r="F330" i="10"/>
  <c r="F329" i="10"/>
  <c r="F328" i="10"/>
  <c r="F327" i="10"/>
  <c r="F326" i="10"/>
  <c r="F325" i="10"/>
  <c r="F324" i="10"/>
  <c r="F323" i="10"/>
  <c r="F322" i="10"/>
  <c r="F321" i="10"/>
  <c r="F320" i="10"/>
  <c r="F317" i="10"/>
  <c r="F316" i="10"/>
  <c r="F315" i="10"/>
  <c r="F314" i="10"/>
  <c r="F313" i="10"/>
  <c r="F312" i="10"/>
  <c r="F311" i="10"/>
  <c r="F310" i="10"/>
  <c r="F309" i="10"/>
  <c r="F308" i="10"/>
  <c r="F301" i="10"/>
  <c r="F300" i="10"/>
  <c r="F299" i="10"/>
  <c r="F298" i="10"/>
  <c r="F297" i="10"/>
  <c r="F296" i="10"/>
  <c r="F295" i="10"/>
  <c r="F294" i="10"/>
  <c r="F293" i="10"/>
  <c r="F290" i="10"/>
  <c r="F289" i="10"/>
  <c r="F288" i="10"/>
  <c r="F287" i="10"/>
  <c r="F286" i="10"/>
  <c r="F285" i="10"/>
  <c r="F284" i="10"/>
  <c r="F283" i="10"/>
  <c r="F280" i="10"/>
  <c r="F279" i="10"/>
  <c r="F278" i="10"/>
  <c r="F277" i="10"/>
  <c r="F276" i="10"/>
  <c r="F275" i="10"/>
  <c r="F274" i="10"/>
  <c r="F273" i="10"/>
  <c r="F272" i="10"/>
  <c r="F271" i="10"/>
  <c r="F268" i="10"/>
  <c r="F267" i="10"/>
  <c r="F266" i="10"/>
  <c r="F265" i="10"/>
  <c r="F264" i="10"/>
  <c r="F263" i="10"/>
  <c r="F262" i="10"/>
  <c r="F261" i="10"/>
  <c r="F258" i="10"/>
  <c r="F253" i="10"/>
  <c r="F252" i="10"/>
  <c r="F251" i="10"/>
  <c r="F250" i="10"/>
  <c r="F249" i="10"/>
  <c r="F248" i="10"/>
  <c r="F247" i="10"/>
  <c r="F246" i="10"/>
  <c r="F243" i="10"/>
  <c r="F242" i="10"/>
  <c r="F241" i="10"/>
  <c r="F240" i="10"/>
  <c r="F239" i="10"/>
  <c r="F238" i="10"/>
  <c r="F237" i="10"/>
  <c r="F236" i="10"/>
  <c r="F235" i="10"/>
  <c r="F234" i="10"/>
  <c r="F233" i="10"/>
  <c r="F232" i="10"/>
  <c r="F229" i="10"/>
  <c r="F228" i="10"/>
  <c r="F227" i="10"/>
  <c r="F226" i="10"/>
  <c r="F225" i="10"/>
  <c r="F224" i="10"/>
  <c r="F223" i="10"/>
  <c r="F222" i="10"/>
  <c r="F219" i="10"/>
  <c r="F218" i="10"/>
  <c r="F217" i="10"/>
  <c r="F216" i="10"/>
  <c r="F215" i="10"/>
  <c r="F214" i="10"/>
  <c r="F213" i="10"/>
  <c r="F212" i="10"/>
  <c r="F211" i="10"/>
  <c r="F210" i="10"/>
  <c r="F207" i="10"/>
  <c r="F206" i="10"/>
  <c r="F205" i="10"/>
  <c r="F204" i="10"/>
  <c r="F203" i="10"/>
  <c r="F202" i="10"/>
  <c r="F201" i="10"/>
  <c r="F200" i="10"/>
  <c r="F194" i="10"/>
  <c r="F193" i="10"/>
  <c r="F192" i="10"/>
  <c r="F191" i="10"/>
  <c r="F190" i="10"/>
  <c r="F189" i="10"/>
  <c r="F188" i="10"/>
  <c r="F187" i="10"/>
  <c r="F186" i="10"/>
  <c r="F185" i="10"/>
  <c r="F184" i="10"/>
  <c r="F181" i="10"/>
  <c r="F180" i="10"/>
  <c r="F179" i="10"/>
  <c r="F178" i="10"/>
  <c r="F177" i="10"/>
  <c r="F176" i="10"/>
  <c r="F175" i="10"/>
  <c r="F174" i="10"/>
  <c r="F171" i="10"/>
  <c r="F170" i="10"/>
  <c r="F169" i="10"/>
  <c r="F168" i="10"/>
  <c r="F167" i="10"/>
  <c r="F166" i="10"/>
  <c r="F165" i="10"/>
  <c r="F164" i="10"/>
  <c r="F163" i="10"/>
  <c r="F160" i="10"/>
  <c r="F159" i="10"/>
  <c r="F158" i="10"/>
  <c r="F157" i="10"/>
  <c r="F156" i="10"/>
  <c r="F155" i="10"/>
  <c r="F152" i="10"/>
  <c r="F151" i="10"/>
  <c r="F150" i="10"/>
  <c r="F149" i="10"/>
  <c r="F148" i="10"/>
  <c r="F147" i="10"/>
  <c r="F146" i="10"/>
  <c r="F145" i="10"/>
  <c r="F137" i="10"/>
  <c r="F136" i="10"/>
  <c r="F135" i="10"/>
  <c r="F134" i="10"/>
  <c r="F133" i="10"/>
  <c r="F132" i="10"/>
  <c r="F123" i="10"/>
  <c r="H98" i="10"/>
  <c r="F97" i="10"/>
  <c r="F96" i="10"/>
  <c r="H96" i="10" s="1"/>
  <c r="F95" i="10"/>
  <c r="F94" i="10"/>
  <c r="H90" i="10"/>
  <c r="F89" i="10"/>
  <c r="H88" i="10"/>
  <c r="H84" i="10"/>
  <c r="F82" i="10"/>
  <c r="H81" i="10"/>
  <c r="F79" i="10"/>
  <c r="F78" i="10"/>
  <c r="F77" i="10"/>
  <c r="F76" i="10"/>
  <c r="F75" i="10"/>
  <c r="F74" i="10"/>
  <c r="F71" i="10"/>
  <c r="F70" i="10"/>
  <c r="F69" i="10"/>
  <c r="F68" i="10"/>
  <c r="F67" i="10"/>
  <c r="F66" i="10"/>
  <c r="F53" i="10"/>
  <c r="H53" i="10" s="1"/>
  <c r="F48" i="10"/>
  <c r="F47" i="10"/>
  <c r="H605" i="10" l="1"/>
  <c r="G740" i="10"/>
  <c r="G753" i="10"/>
  <c r="H29" i="17"/>
  <c r="H31" i="17" s="1"/>
  <c r="H48" i="10"/>
  <c r="H47" i="10"/>
  <c r="H94" i="10"/>
  <c r="H639" i="10"/>
  <c r="H596" i="10"/>
  <c r="H644" i="10"/>
  <c r="H636" i="10"/>
  <c r="H642" i="10"/>
  <c r="H647" i="10"/>
  <c r="H653" i="10"/>
  <c r="H659" i="10"/>
  <c r="F256" i="10"/>
  <c r="F57" i="10" s="1"/>
  <c r="F529" i="10"/>
  <c r="F62" i="10" s="1"/>
  <c r="F419" i="10"/>
  <c r="F60" i="10" s="1"/>
  <c r="F566" i="10"/>
  <c r="F63" i="10" s="1"/>
  <c r="F131" i="10"/>
  <c r="F116" i="10" s="1"/>
  <c r="F356" i="10"/>
  <c r="F58" i="10" s="1"/>
  <c r="H629" i="10"/>
  <c r="G631" i="10" s="1"/>
  <c r="H765" i="10"/>
  <c r="F73" i="10"/>
  <c r="H73" i="10" s="1"/>
  <c r="F143" i="10"/>
  <c r="F389" i="10"/>
  <c r="F59" i="10" s="1"/>
  <c r="H609" i="10"/>
  <c r="F65" i="10"/>
  <c r="F465" i="10"/>
  <c r="F61" i="10" s="1"/>
  <c r="H774" i="10"/>
  <c r="H753" i="10"/>
  <c r="H65" i="10"/>
  <c r="H82" i="10"/>
  <c r="H95" i="10"/>
  <c r="H97" i="10"/>
  <c r="H637" i="10"/>
  <c r="H640" i="10"/>
  <c r="H643" i="10"/>
  <c r="H646" i="10"/>
  <c r="H649" i="10"/>
  <c r="H652" i="10"/>
  <c r="H655" i="10"/>
  <c r="H657" i="10"/>
  <c r="H660" i="10"/>
  <c r="H798" i="10"/>
  <c r="H787" i="10" s="1"/>
  <c r="H760" i="10"/>
  <c r="H89" i="10"/>
  <c r="H86" i="10" s="1"/>
  <c r="H618" i="10"/>
  <c r="H620" i="10"/>
  <c r="G781" i="10" l="1"/>
  <c r="H781" i="10" s="1"/>
  <c r="H763" i="10" s="1"/>
  <c r="F120" i="10"/>
  <c r="F140" i="10"/>
  <c r="F105" i="10" s="1"/>
  <c r="H105" i="10" s="1"/>
  <c r="H102" i="10" s="1"/>
  <c r="H615" i="10"/>
  <c r="F56" i="10"/>
  <c r="F55" i="10" s="1"/>
  <c r="F118" i="10"/>
  <c r="H740" i="10"/>
  <c r="H20" i="10"/>
  <c r="F742" i="10" l="1"/>
  <c r="H742" i="10" s="1"/>
  <c r="H55" i="10"/>
  <c r="H44" i="10" s="1"/>
  <c r="F107" i="10"/>
  <c r="H16" i="10"/>
  <c r="H24" i="10"/>
  <c r="H631" i="10"/>
  <c r="H600" i="10" l="1"/>
  <c r="H18" i="10" s="1"/>
  <c r="F109" i="10"/>
  <c r="F114" i="10"/>
  <c r="F112" i="10"/>
  <c r="H19" i="10"/>
  <c r="H15" i="10"/>
  <c r="H17" i="10" l="1"/>
  <c r="H22" i="10" l="1"/>
  <c r="H27" i="10" s="1"/>
  <c r="H29" i="10" l="1"/>
  <c r="H31" i="10" s="1"/>
</calcChain>
</file>

<file path=xl/sharedStrings.xml><?xml version="1.0" encoding="utf-8"?>
<sst xmlns="http://schemas.openxmlformats.org/spreadsheetml/2006/main" count="4618" uniqueCount="1435">
  <si>
    <t>na akci :</t>
  </si>
  <si>
    <t>Aktualizace a doplnění PD - oprava a regulace stávajícího topného systému v objektu UK PF</t>
  </si>
  <si>
    <t>Právnická Fakulta Univerzity  Karlovy</t>
  </si>
  <si>
    <t>Praha 1, Náměstí Curieových 7</t>
  </si>
  <si>
    <t>Základní rozpočtové náklady</t>
  </si>
  <si>
    <t>Přípravné práce</t>
  </si>
  <si>
    <t>Kč</t>
  </si>
  <si>
    <t>783 - Nátěry</t>
  </si>
  <si>
    <t xml:space="preserve">731 - Vytápění </t>
  </si>
  <si>
    <t>721 - Zdravotně technické instalace</t>
  </si>
  <si>
    <t>Dokončovací práce</t>
  </si>
  <si>
    <t xml:space="preserve">Vedlejší rozpočtové náklady                        </t>
  </si>
  <si>
    <t>Náklady celkem bez DPH</t>
  </si>
  <si>
    <t>DPH 21%</t>
  </si>
  <si>
    <t>Náklady celkem včetně DPH</t>
  </si>
  <si>
    <t>p.č.</t>
  </si>
  <si>
    <t>položka č.</t>
  </si>
  <si>
    <t>popis prací a dodávek</t>
  </si>
  <si>
    <t>m.j.</t>
  </si>
  <si>
    <t>počet m.j.</t>
  </si>
  <si>
    <t>cena / m.j.</t>
  </si>
  <si>
    <t>cena celkem</t>
  </si>
  <si>
    <t>2</t>
  </si>
  <si>
    <t>3</t>
  </si>
  <si>
    <t>4</t>
  </si>
  <si>
    <t>5</t>
  </si>
  <si>
    <t>Všeobecné poznámky: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</si>
  <si>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</si>
  <si>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</si>
  <si>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</si>
  <si>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</si>
  <si>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</si>
  <si>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</si>
  <si>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</si>
  <si>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</si>
  <si>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</si>
  <si>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</si>
  <si>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KČ</t>
  </si>
  <si>
    <t>celkem</t>
  </si>
  <si>
    <t>16</t>
  </si>
  <si>
    <t>17</t>
  </si>
  <si>
    <t>m2</t>
  </si>
  <si>
    <t>18</t>
  </si>
  <si>
    <t>21</t>
  </si>
  <si>
    <t>19</t>
  </si>
  <si>
    <t>20</t>
  </si>
  <si>
    <t>22</t>
  </si>
  <si>
    <t>23</t>
  </si>
  <si>
    <t>Vypuštění vody z otopných těles</t>
  </si>
  <si>
    <t>24</t>
  </si>
  <si>
    <t>25</t>
  </si>
  <si>
    <t>26</t>
  </si>
  <si>
    <t>27</t>
  </si>
  <si>
    <t>28</t>
  </si>
  <si>
    <t>29</t>
  </si>
  <si>
    <t>30</t>
  </si>
  <si>
    <t>31</t>
  </si>
  <si>
    <t xml:space="preserve">Vypouštění vody ze stoupacího potrubí v úseku od uzávěru stoupacího potrubí </t>
  </si>
  <si>
    <t>32</t>
  </si>
  <si>
    <t>2.PP  - (90* 0,0628)</t>
  </si>
  <si>
    <t>33</t>
  </si>
  <si>
    <t>1.PP  - (495* 0,0628)</t>
  </si>
  <si>
    <t>34</t>
  </si>
  <si>
    <t>1.NP  - (358* 0,0628)</t>
  </si>
  <si>
    <t>35</t>
  </si>
  <si>
    <t>2.NP  - (320* 0,0628)</t>
  </si>
  <si>
    <t>36</t>
  </si>
  <si>
    <t>3.PP  - (298* 0,0628)</t>
  </si>
  <si>
    <t>37</t>
  </si>
  <si>
    <t>4.PP  - (229* 0,0628)</t>
  </si>
  <si>
    <t>38</t>
  </si>
  <si>
    <t>39</t>
  </si>
  <si>
    <t>40</t>
  </si>
  <si>
    <t>2.PP  - (85+80+7)* 0,0628</t>
  </si>
  <si>
    <t>41</t>
  </si>
  <si>
    <t>1.PP  - (296+257+80)* 0,0628</t>
  </si>
  <si>
    <t>42</t>
  </si>
  <si>
    <t>1.NP  - (293+308+85)* 0,0628</t>
  </si>
  <si>
    <t>43</t>
  </si>
  <si>
    <t>2.NP  - (263+281+68)* 0,0628</t>
  </si>
  <si>
    <t>44</t>
  </si>
  <si>
    <t>3.PP  - (288+290+70)* 0,0628</t>
  </si>
  <si>
    <t>45</t>
  </si>
  <si>
    <t>4.PP  - (375+385+90)* 0,0628</t>
  </si>
  <si>
    <t>46</t>
  </si>
  <si>
    <t>47</t>
  </si>
  <si>
    <t>HZS4232</t>
  </si>
  <si>
    <t xml:space="preserve"> Vzorový radiátor na posouzení vhodnosti nátěru a proměření tl. nátěru 1 ks (3,57m2/prům. otopné těleso)</t>
  </si>
  <si>
    <t>HZS</t>
  </si>
  <si>
    <t>48</t>
  </si>
  <si>
    <t>735110001/r</t>
  </si>
  <si>
    <t>ks</t>
  </si>
  <si>
    <t>49</t>
  </si>
  <si>
    <t>50</t>
  </si>
  <si>
    <t>784111001
D+M</t>
  </si>
  <si>
    <t>Oprášení (ometení ) podkladu v místnostech v do 3,80 m</t>
  </si>
  <si>
    <t>Omytí podkladu v místnostech v do 3,80 m</t>
  </si>
  <si>
    <t>784221101
D+M</t>
  </si>
  <si>
    <t>Dvojnásobné bílé malby ze směsí za sucha dobře otěruvzdorných v místnostech do 3,80 m</t>
  </si>
  <si>
    <t>784221031
D+M</t>
  </si>
  <si>
    <t>Příplatek k cenám 1x maleb za sucha otěruvzdorných za provádění pl do 5 m2</t>
  </si>
  <si>
    <t>Ochrana radiátorů před znečištěním malbou netkanou geotextilii do hm 200/m20g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</si>
  <si>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</si>
  <si>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</si>
  <si>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</si>
  <si>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</si>
  <si>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</si>
  <si>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</si>
  <si>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</si>
  <si>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</si>
  <si>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</si>
  <si>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</si>
  <si>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</si>
  <si>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</si>
  <si>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</si>
  <si>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</si>
  <si>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</si>
  <si>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t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</si>
  <si>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</si>
  <si>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</si>
  <si>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</si>
  <si>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</si>
  <si>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</si>
  <si>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</si>
  <si>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</si>
  <si>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</si>
  <si>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</si>
  <si>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</si>
  <si>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</si>
  <si>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</si>
  <si>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</si>
  <si>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</si>
  <si>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</si>
  <si>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</si>
  <si>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</si>
  <si>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</si>
  <si>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</si>
  <si>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</si>
  <si>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</si>
  <si>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</si>
  <si>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</si>
  <si>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</si>
  <si>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</si>
  <si>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</si>
  <si>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</si>
  <si>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</si>
  <si>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</si>
  <si>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Nátěry litinových článkových radiátorů a potrubí</t>
  </si>
  <si>
    <t>95</t>
  </si>
  <si>
    <t>96</t>
  </si>
  <si>
    <t>Ometení článkových otopných těles před provedením nátěru</t>
  </si>
  <si>
    <t>97</t>
  </si>
  <si>
    <t>98</t>
  </si>
  <si>
    <t>99</t>
  </si>
  <si>
    <t>100</t>
  </si>
  <si>
    <t>Odmaštění litinových otopných těles odmašťovačem vodou ředitelným před provedením nátěru</t>
  </si>
  <si>
    <t>101</t>
  </si>
  <si>
    <t>102</t>
  </si>
  <si>
    <t>Tmelení článkových otopných těles disperzním tmelem</t>
  </si>
  <si>
    <t>103</t>
  </si>
  <si>
    <t>výměra z 30% (výměra : 1927,92*30%)</t>
  </si>
  <si>
    <t>104</t>
  </si>
  <si>
    <t>105</t>
  </si>
  <si>
    <t>106</t>
  </si>
  <si>
    <t>107</t>
  </si>
  <si>
    <t>108</t>
  </si>
  <si>
    <t>109</t>
  </si>
  <si>
    <t>Odmaštění ředidlovým odmašťovačem potrubí DN do 50 mm ;  
výměra : (1790,0+4115,0)m</t>
  </si>
  <si>
    <t>m</t>
  </si>
  <si>
    <t>110</t>
  </si>
  <si>
    <t>111</t>
  </si>
  <si>
    <t>112</t>
  </si>
  <si>
    <t>113</t>
  </si>
  <si>
    <t>114</t>
  </si>
  <si>
    <t>115</t>
  </si>
  <si>
    <t>116</t>
  </si>
  <si>
    <t>výměry pro nátěry stoupací potrubí</t>
  </si>
  <si>
    <t>bm</t>
  </si>
  <si>
    <t>117</t>
  </si>
  <si>
    <t>2.PP  - 90</t>
  </si>
  <si>
    <t>118</t>
  </si>
  <si>
    <t>1.PP  - 495</t>
  </si>
  <si>
    <t>119</t>
  </si>
  <si>
    <t>1.NP  -358</t>
  </si>
  <si>
    <t>120</t>
  </si>
  <si>
    <t>2.NP  - 320</t>
  </si>
  <si>
    <t>121</t>
  </si>
  <si>
    <t>3.PP  - 298</t>
  </si>
  <si>
    <t>122</t>
  </si>
  <si>
    <t>4.PP  - 229</t>
  </si>
  <si>
    <t>123</t>
  </si>
  <si>
    <t>124</t>
  </si>
  <si>
    <r>
      <rPr>
        <b/>
        <sz val="10"/>
        <rFont val="Calibri"/>
        <family val="2"/>
        <charset val="238"/>
      </rPr>
      <t>výměry pro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nátěry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potrubí vodorovné</t>
    </r>
    <r>
      <rPr>
        <sz val="10"/>
        <rFont val="Calibri"/>
        <family val="2"/>
        <charset val="238"/>
      </rPr>
      <t xml:space="preserve"> (přívodní + zpátečka) a připojovací potrubí (ccatr. 20mm)</t>
    </r>
  </si>
  <si>
    <t>125</t>
  </si>
  <si>
    <t>2.PP  - (90+85+7)</t>
  </si>
  <si>
    <t>126</t>
  </si>
  <si>
    <t>1.PP  - (352+313+80)</t>
  </si>
  <si>
    <t>127</t>
  </si>
  <si>
    <t>1.NP  - (349+364+85)</t>
  </si>
  <si>
    <t>128</t>
  </si>
  <si>
    <t>2.NP  - (319+281+68)</t>
  </si>
  <si>
    <t>129</t>
  </si>
  <si>
    <t>3.PP  - (344+346+70)</t>
  </si>
  <si>
    <t>130</t>
  </si>
  <si>
    <t>4.PP  - (431+441+90)</t>
  </si>
  <si>
    <t>131</t>
  </si>
  <si>
    <t>132</t>
  </si>
  <si>
    <t>133</t>
  </si>
  <si>
    <t>134</t>
  </si>
  <si>
    <t>135</t>
  </si>
  <si>
    <t>136</t>
  </si>
  <si>
    <t>137</t>
  </si>
  <si>
    <t>138</t>
  </si>
  <si>
    <t>mezisoučet</t>
  </si>
  <si>
    <t>139</t>
  </si>
  <si>
    <t>140</t>
  </si>
  <si>
    <t>024</t>
  </si>
  <si>
    <t>141</t>
  </si>
  <si>
    <t>026</t>
  </si>
  <si>
    <t>142</t>
  </si>
  <si>
    <t>027</t>
  </si>
  <si>
    <t>143</t>
  </si>
  <si>
    <t>061</t>
  </si>
  <si>
    <t>144</t>
  </si>
  <si>
    <t>062</t>
  </si>
  <si>
    <t>145</t>
  </si>
  <si>
    <t>063</t>
  </si>
  <si>
    <t>146</t>
  </si>
  <si>
    <t>064</t>
  </si>
  <si>
    <t>147</t>
  </si>
  <si>
    <t>148</t>
  </si>
  <si>
    <t>149</t>
  </si>
  <si>
    <t>150</t>
  </si>
  <si>
    <t>151</t>
  </si>
  <si>
    <t>152</t>
  </si>
  <si>
    <t>007</t>
  </si>
  <si>
    <t>153</t>
  </si>
  <si>
    <t>010</t>
  </si>
  <si>
    <t>154</t>
  </si>
  <si>
    <t>011</t>
  </si>
  <si>
    <t>155</t>
  </si>
  <si>
    <t>156</t>
  </si>
  <si>
    <t>016</t>
  </si>
  <si>
    <t xml:space="preserve">  10 - 900/160 /ks 1/ (0,440m2/čl.)</t>
  </si>
  <si>
    <t>157</t>
  </si>
  <si>
    <t>018</t>
  </si>
  <si>
    <t>158</t>
  </si>
  <si>
    <t>022</t>
  </si>
  <si>
    <t xml:space="preserve">  12 - 500/160 /ks 1/ (0,255m2/čl.)</t>
  </si>
  <si>
    <t>159</t>
  </si>
  <si>
    <t xml:space="preserve">  14 - 500/160 /ks 1/ (0,255m2/čl.)</t>
  </si>
  <si>
    <t>160</t>
  </si>
  <si>
    <t xml:space="preserve">  24 - 500/160 /ks 1/ (0,255m2/čl.)</t>
  </si>
  <si>
    <t>161</t>
  </si>
  <si>
    <t>022_1</t>
  </si>
  <si>
    <t>162</t>
  </si>
  <si>
    <t>163</t>
  </si>
  <si>
    <t>023</t>
  </si>
  <si>
    <t>164</t>
  </si>
  <si>
    <t xml:space="preserve">  15 - 500/160 /ks 1/ (0,255m2/čl.)</t>
  </si>
  <si>
    <t>165</t>
  </si>
  <si>
    <t>025</t>
  </si>
  <si>
    <t xml:space="preserve">  16 - 500/160 /ks 1/ (0,255m2/čl.)</t>
  </si>
  <si>
    <t>166</t>
  </si>
  <si>
    <t>167</t>
  </si>
  <si>
    <t xml:space="preserve">  20- 500/160 /ks 2/ (0,255m2/čl.)</t>
  </si>
  <si>
    <t>168</t>
  </si>
  <si>
    <t>030</t>
  </si>
  <si>
    <t>169</t>
  </si>
  <si>
    <t>031</t>
  </si>
  <si>
    <t xml:space="preserve">  22 - 500/160 /ks 2/ (0,255m2/čl.)</t>
  </si>
  <si>
    <t>170</t>
  </si>
  <si>
    <t>035</t>
  </si>
  <si>
    <t xml:space="preserve">  18 - 500/160 /ks 2/ (0,255m2/čl.)</t>
  </si>
  <si>
    <t>171</t>
  </si>
  <si>
    <t>037</t>
  </si>
  <si>
    <t xml:space="preserve"> 15 - 500/160 /ks 1/ (0,255m2/čl.)</t>
  </si>
  <si>
    <t>172</t>
  </si>
  <si>
    <t>041</t>
  </si>
  <si>
    <t>173</t>
  </si>
  <si>
    <t>044</t>
  </si>
  <si>
    <t>174</t>
  </si>
  <si>
    <t>046</t>
  </si>
  <si>
    <t>175</t>
  </si>
  <si>
    <t>176</t>
  </si>
  <si>
    <t>047</t>
  </si>
  <si>
    <t>177</t>
  </si>
  <si>
    <t>048</t>
  </si>
  <si>
    <t>178</t>
  </si>
  <si>
    <t>049</t>
  </si>
  <si>
    <t>179</t>
  </si>
  <si>
    <t>050</t>
  </si>
  <si>
    <t>180</t>
  </si>
  <si>
    <t>053</t>
  </si>
  <si>
    <t xml:space="preserve"> 18 - 500/160 /ks 1/ (0,255m2/čl.)</t>
  </si>
  <si>
    <t>181</t>
  </si>
  <si>
    <t>058</t>
  </si>
  <si>
    <t>182</t>
  </si>
  <si>
    <t>060</t>
  </si>
  <si>
    <t>183</t>
  </si>
  <si>
    <t>184</t>
  </si>
  <si>
    <t>065</t>
  </si>
  <si>
    <t>185</t>
  </si>
  <si>
    <t>186</t>
  </si>
  <si>
    <t>078</t>
  </si>
  <si>
    <t>187</t>
  </si>
  <si>
    <t>188</t>
  </si>
  <si>
    <t>079</t>
  </si>
  <si>
    <t>189</t>
  </si>
  <si>
    <t>081</t>
  </si>
  <si>
    <t>190</t>
  </si>
  <si>
    <t>086</t>
  </si>
  <si>
    <t>191</t>
  </si>
  <si>
    <t>087</t>
  </si>
  <si>
    <t>192</t>
  </si>
  <si>
    <t>193</t>
  </si>
  <si>
    <t>090</t>
  </si>
  <si>
    <t>194</t>
  </si>
  <si>
    <t>093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</si>
  <si>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</si>
  <si>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</si>
  <si>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</si>
  <si>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</si>
  <si>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</si>
  <si>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</si>
  <si>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</si>
  <si>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</si>
  <si>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</si>
  <si>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</si>
  <si>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</si>
  <si>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</si>
  <si>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</si>
  <si>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</si>
  <si>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 xml:space="preserve"> 16 - 500/160 /ks 1/ (0,255m2/čl.)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</si>
  <si>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</si>
  <si>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</si>
  <si>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</si>
  <si>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</si>
  <si>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</si>
  <si>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</si>
  <si>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</si>
  <si>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</si>
  <si>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</si>
  <si>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</si>
  <si>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</si>
  <si>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</si>
  <si>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</si>
  <si>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</si>
  <si>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001_1</t>
  </si>
  <si>
    <t>223</t>
  </si>
  <si>
    <t>224</t>
  </si>
  <si>
    <t>225</t>
  </si>
  <si>
    <t>226</t>
  </si>
  <si>
    <t>005_1</t>
  </si>
  <si>
    <t>227</t>
  </si>
  <si>
    <t>006_1</t>
  </si>
  <si>
    <t>228</t>
  </si>
  <si>
    <t>229</t>
  </si>
  <si>
    <t>008_1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</si>
  <si>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</si>
  <si>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</si>
  <si>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</si>
  <si>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</si>
  <si>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</si>
  <si>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</si>
  <si>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</si>
  <si>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</si>
  <si>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</si>
  <si>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</si>
  <si>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</si>
  <si>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016_1</t>
  </si>
  <si>
    <t>241</t>
  </si>
  <si>
    <t>016_2</t>
  </si>
  <si>
    <t>242</t>
  </si>
  <si>
    <t>243</t>
  </si>
  <si>
    <t>244</t>
  </si>
  <si>
    <t>245</t>
  </si>
  <si>
    <t>246</t>
  </si>
  <si>
    <t>023_1</t>
  </si>
  <si>
    <t>247</t>
  </si>
  <si>
    <t>248</t>
  </si>
  <si>
    <t>024_1</t>
  </si>
  <si>
    <t>249</t>
  </si>
  <si>
    <t>250</t>
  </si>
  <si>
    <t>025_1</t>
  </si>
  <si>
    <t>251</t>
  </si>
  <si>
    <t>026_1</t>
  </si>
  <si>
    <t>252</t>
  </si>
  <si>
    <t>027_1</t>
  </si>
  <si>
    <t>253</t>
  </si>
  <si>
    <t>028_1</t>
  </si>
  <si>
    <t>254</t>
  </si>
  <si>
    <t>029_1</t>
  </si>
  <si>
    <t>255</t>
  </si>
  <si>
    <t>256</t>
  </si>
  <si>
    <t>031_1</t>
  </si>
  <si>
    <t>257</t>
  </si>
  <si>
    <t>032_1</t>
  </si>
  <si>
    <t>258</t>
  </si>
  <si>
    <t>033_1</t>
  </si>
  <si>
    <t>259</t>
  </si>
  <si>
    <t>034_1</t>
  </si>
  <si>
    <t>260</t>
  </si>
  <si>
    <t>034_3</t>
  </si>
  <si>
    <t>261</t>
  </si>
  <si>
    <t>262</t>
  </si>
  <si>
    <t>263</t>
  </si>
  <si>
    <t>264</t>
  </si>
  <si>
    <t>265</t>
  </si>
  <si>
    <t>266</t>
  </si>
  <si>
    <t>054_2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</si>
  <si>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</si>
  <si>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</si>
  <si>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</si>
  <si>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</si>
  <si>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</si>
  <si>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</si>
  <si>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</si>
  <si>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</si>
  <si>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</si>
  <si>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</si>
  <si>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</si>
  <si>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</si>
  <si>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</si>
  <si>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</si>
  <si>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</si>
  <si>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</si>
  <si>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</si>
  <si>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</si>
  <si>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</si>
  <si>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</si>
  <si>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</si>
  <si>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</si>
  <si>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</si>
  <si>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105_1</t>
  </si>
  <si>
    <t>290</t>
  </si>
  <si>
    <t>106_1</t>
  </si>
  <si>
    <t>291</t>
  </si>
  <si>
    <t>292</t>
  </si>
  <si>
    <t>293</t>
  </si>
  <si>
    <t>294</t>
  </si>
  <si>
    <t>295</t>
  </si>
  <si>
    <t>296</t>
  </si>
  <si>
    <t>297</t>
  </si>
  <si>
    <t>298</t>
  </si>
  <si>
    <t>114_1</t>
  </si>
  <si>
    <t>299</t>
  </si>
  <si>
    <t>300</t>
  </si>
  <si>
    <t>301</t>
  </si>
  <si>
    <t>302</t>
  </si>
  <si>
    <t>118_1</t>
  </si>
  <si>
    <t>303</t>
  </si>
  <si>
    <t>304</t>
  </si>
  <si>
    <t>305</t>
  </si>
  <si>
    <t>306</t>
  </si>
  <si>
    <t>307</t>
  </si>
  <si>
    <t>308</t>
  </si>
  <si>
    <t>309</t>
  </si>
  <si>
    <t>310</t>
  </si>
  <si>
    <t>125_1</t>
  </si>
  <si>
    <t>311</t>
  </si>
  <si>
    <t>312</t>
  </si>
  <si>
    <t>127_1</t>
  </si>
  <si>
    <t>313</t>
  </si>
  <si>
    <t>314</t>
  </si>
  <si>
    <t>128_1</t>
  </si>
  <si>
    <t>315</t>
  </si>
  <si>
    <t>129_1</t>
  </si>
  <si>
    <t>316</t>
  </si>
  <si>
    <t>130_1</t>
  </si>
  <si>
    <t>317</t>
  </si>
  <si>
    <t>131_1</t>
  </si>
  <si>
    <t>318</t>
  </si>
  <si>
    <t>132_1</t>
  </si>
  <si>
    <t>319</t>
  </si>
  <si>
    <t>133_1</t>
  </si>
  <si>
    <t>320</t>
  </si>
  <si>
    <t>134_1</t>
  </si>
  <si>
    <t>321</t>
  </si>
  <si>
    <t>135_1</t>
  </si>
  <si>
    <t>322</t>
  </si>
  <si>
    <t>136_1</t>
  </si>
  <si>
    <t>323</t>
  </si>
  <si>
    <t>137_1</t>
  </si>
  <si>
    <t>324</t>
  </si>
  <si>
    <t>138_1</t>
  </si>
  <si>
    <t>325</t>
  </si>
  <si>
    <t>139_1</t>
  </si>
  <si>
    <t>326</t>
  </si>
  <si>
    <t>140_1</t>
  </si>
  <si>
    <t>327</t>
  </si>
  <si>
    <t>141_1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</si>
  <si>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</si>
  <si>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</si>
  <si>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</si>
  <si>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</si>
  <si>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</si>
  <si>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</si>
  <si>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</si>
  <si>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</si>
  <si>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</si>
  <si>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</si>
  <si>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</si>
  <si>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</si>
  <si>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</si>
  <si>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</si>
  <si>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</si>
  <si>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</si>
  <si>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</si>
  <si>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</si>
  <si>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</si>
  <si>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</si>
  <si>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</si>
  <si>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</si>
  <si>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</si>
  <si>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</si>
  <si>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</si>
  <si>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</si>
  <si>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</si>
  <si>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</si>
  <si>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</si>
  <si>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</si>
  <si>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</si>
  <si>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</si>
  <si>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</si>
  <si>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</si>
  <si>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</si>
  <si>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</si>
  <si>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215_1</t>
  </si>
  <si>
    <t>364</t>
  </si>
  <si>
    <t>216_1</t>
  </si>
  <si>
    <t>365</t>
  </si>
  <si>
    <t>217_1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</si>
  <si>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</si>
  <si>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</si>
  <si>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</si>
  <si>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</si>
  <si>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</si>
  <si>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</si>
  <si>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</si>
  <si>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</si>
  <si>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</si>
  <si>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</si>
  <si>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227_1</t>
  </si>
  <si>
    <t>376</t>
  </si>
  <si>
    <t>228_1</t>
  </si>
  <si>
    <t>377</t>
  </si>
  <si>
    <t>378</t>
  </si>
  <si>
    <t>230_1</t>
  </si>
  <si>
    <t>379</t>
  </si>
  <si>
    <t>231_1</t>
  </si>
  <si>
    <t>380</t>
  </si>
  <si>
    <t>232_1</t>
  </si>
  <si>
    <t>381</t>
  </si>
  <si>
    <t>233_1</t>
  </si>
  <si>
    <t>382</t>
  </si>
  <si>
    <t>234_1</t>
  </si>
  <si>
    <t>383</t>
  </si>
  <si>
    <t>235_1</t>
  </si>
  <si>
    <t>384</t>
  </si>
  <si>
    <t>236_1</t>
  </si>
  <si>
    <t>385</t>
  </si>
  <si>
    <t>237_1</t>
  </si>
  <si>
    <t>386</t>
  </si>
  <si>
    <t>387</t>
  </si>
  <si>
    <t>239_1</t>
  </si>
  <si>
    <t>388</t>
  </si>
  <si>
    <t>240_1</t>
  </si>
  <si>
    <t>389</t>
  </si>
  <si>
    <t>390</t>
  </si>
  <si>
    <t>391</t>
  </si>
  <si>
    <t>392</t>
  </si>
  <si>
    <t>393</t>
  </si>
  <si>
    <t>252_1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</si>
  <si>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</si>
  <si>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</si>
  <si>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</si>
  <si>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</si>
  <si>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</si>
  <si>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</si>
  <si>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</si>
  <si>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</si>
  <si>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</si>
  <si>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</si>
  <si>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</si>
  <si>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</si>
  <si>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</si>
  <si>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</si>
  <si>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</si>
  <si>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</si>
  <si>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</si>
  <si>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</si>
  <si>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</si>
  <si>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</si>
  <si>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</si>
  <si>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</si>
  <si>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</si>
  <si>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</si>
  <si>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</si>
  <si>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306_1</t>
  </si>
  <si>
    <t>419</t>
  </si>
  <si>
    <t>307_1</t>
  </si>
  <si>
    <t>420</t>
  </si>
  <si>
    <t>308_1</t>
  </si>
  <si>
    <t>421</t>
  </si>
  <si>
    <t>309_1</t>
  </si>
  <si>
    <t>422</t>
  </si>
  <si>
    <t>423</t>
  </si>
  <si>
    <t>310_1</t>
  </si>
  <si>
    <t>424</t>
  </si>
  <si>
    <t>311_1</t>
  </si>
  <si>
    <t>425</t>
  </si>
  <si>
    <t>312_1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</si>
  <si>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</si>
  <si>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</si>
  <si>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</si>
  <si>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</si>
  <si>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</si>
  <si>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</si>
  <si>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</si>
  <si>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</si>
  <si>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</si>
  <si>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320_1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</si>
  <si>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</si>
  <si>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</si>
  <si>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</si>
  <si>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</si>
  <si>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</si>
  <si>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</si>
  <si>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</si>
  <si>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</si>
  <si>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</si>
  <si>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</si>
  <si>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</si>
  <si>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</si>
  <si>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</si>
  <si>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</si>
  <si>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</si>
  <si>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</si>
  <si>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</si>
  <si>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336_1</t>
  </si>
  <si>
    <t>452</t>
  </si>
  <si>
    <t>337_1</t>
  </si>
  <si>
    <t>453</t>
  </si>
  <si>
    <t>454</t>
  </si>
  <si>
    <t>455</t>
  </si>
  <si>
    <t>456</t>
  </si>
  <si>
    <t>339_1</t>
  </si>
  <si>
    <t>457</t>
  </si>
  <si>
    <t>458</t>
  </si>
  <si>
    <t>341_1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</si>
  <si>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</si>
  <si>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</si>
  <si>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</si>
  <si>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</si>
  <si>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</si>
  <si>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</si>
  <si>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</si>
  <si>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</si>
  <si>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</si>
  <si>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</si>
  <si>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</si>
  <si>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</si>
  <si>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</si>
  <si>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</si>
  <si>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</si>
  <si>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</si>
  <si>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</si>
  <si>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</si>
  <si>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</si>
  <si>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800-731</t>
  </si>
  <si>
    <t>731 -Vytápění</t>
  </si>
  <si>
    <t xml:space="preserve">Kč </t>
  </si>
  <si>
    <t>478</t>
  </si>
  <si>
    <t>479</t>
  </si>
  <si>
    <t>800-735</t>
  </si>
  <si>
    <t>Otopná tělesa</t>
  </si>
  <si>
    <t>480</t>
  </si>
  <si>
    <t>Dodávka</t>
  </si>
  <si>
    <t xml:space="preserve">Nové otopné těleso ocelové deskové typ 22,  600/600mm, barva bílá, včetně zátek a  materiálu pro uchycení na zeď </t>
  </si>
  <si>
    <t>481</t>
  </si>
  <si>
    <t>482</t>
  </si>
  <si>
    <t>Přesun hmot procentní pro otopná tělesa v objektech v přes 12 do 24 m /  2,39%</t>
  </si>
  <si>
    <t>483</t>
  </si>
  <si>
    <t>484</t>
  </si>
  <si>
    <t>485</t>
  </si>
  <si>
    <r>
      <t>Otopná tělesa litinová článková</t>
    </r>
    <r>
      <rPr>
        <sz val="9"/>
        <rFont val="Calibri"/>
        <family val="2"/>
        <charset val="238"/>
      </rPr>
      <t xml:space="preserve"> (natřená)</t>
    </r>
  </si>
  <si>
    <t>486</t>
  </si>
  <si>
    <t>487</t>
  </si>
  <si>
    <t>488</t>
  </si>
  <si>
    <t>489</t>
  </si>
  <si>
    <t>490</t>
  </si>
  <si>
    <t>767991911/P</t>
  </si>
  <si>
    <t>491</t>
  </si>
  <si>
    <t>767000001/r</t>
  </si>
  <si>
    <t>492</t>
  </si>
  <si>
    <t>493</t>
  </si>
  <si>
    <t>494</t>
  </si>
  <si>
    <t>7333</t>
  </si>
  <si>
    <t>Rozvod potrubí</t>
  </si>
  <si>
    <t>495</t>
  </si>
  <si>
    <t>dodávka</t>
  </si>
  <si>
    <t>Potrubí z uhlíkové oceli vně pozinkované spojované lisováním DN15, včetně tvarovek</t>
  </si>
  <si>
    <t>496</t>
  </si>
  <si>
    <t>Potrubí z  uhlíkové oceli vně pozinkované spojované lisováním DN20, včetně tvarovek</t>
  </si>
  <si>
    <t>497</t>
  </si>
  <si>
    <t xml:space="preserve"> dodávka</t>
  </si>
  <si>
    <t>Potrubí z  uhlíkové oceli vně pozinkované spojované lisováním DN25, včetně tvarovek</t>
  </si>
  <si>
    <t>498</t>
  </si>
  <si>
    <t>Potrubí z  uhlíkové oceli vně pozinkované spojované lisováním DN32, včetně tvarovek</t>
  </si>
  <si>
    <t>499</t>
  </si>
  <si>
    <t>Potrubí z  uhlíkové oceli vně pozinkované spojované lisováním DN40, včetně tvarovek</t>
  </si>
  <si>
    <t>500</t>
  </si>
  <si>
    <t>501</t>
  </si>
  <si>
    <t>722131921 montáž</t>
  </si>
  <si>
    <t>502</t>
  </si>
  <si>
    <t>722131922 montáž</t>
  </si>
  <si>
    <t>503</t>
  </si>
  <si>
    <t>722131923 montáž</t>
  </si>
  <si>
    <t>504</t>
  </si>
  <si>
    <t>722131924 montáž</t>
  </si>
  <si>
    <t>505</t>
  </si>
  <si>
    <t>722131925 montáž</t>
  </si>
  <si>
    <t>506</t>
  </si>
  <si>
    <t>Zkouška těsnosti potrubí ocelové závitové DN do 40</t>
  </si>
  <si>
    <t>507</t>
  </si>
  <si>
    <t>734290912/P</t>
  </si>
  <si>
    <t>508</t>
  </si>
  <si>
    <t>998733203</t>
  </si>
  <si>
    <t>509</t>
  </si>
  <si>
    <t>510</t>
  </si>
  <si>
    <t>Armatury</t>
  </si>
  <si>
    <t>511</t>
  </si>
  <si>
    <t xml:space="preserve">dodávka </t>
  </si>
  <si>
    <t>512</t>
  </si>
  <si>
    <t>DN 15</t>
  </si>
  <si>
    <t>513</t>
  </si>
  <si>
    <t>DN 20</t>
  </si>
  <si>
    <t>514</t>
  </si>
  <si>
    <t>515</t>
  </si>
  <si>
    <t>DN32</t>
  </si>
  <si>
    <t>516</t>
  </si>
  <si>
    <t>517</t>
  </si>
  <si>
    <t>518</t>
  </si>
  <si>
    <t xml:space="preserve">ks  </t>
  </si>
  <si>
    <t>519</t>
  </si>
  <si>
    <t>DN 25</t>
  </si>
  <si>
    <t>520</t>
  </si>
  <si>
    <t>521</t>
  </si>
  <si>
    <t>DN40</t>
  </si>
  <si>
    <t>522</t>
  </si>
  <si>
    <t>Šroubení přímé , PN6 - pro montáž závitových armatur</t>
  </si>
  <si>
    <t>523</t>
  </si>
  <si>
    <t>524</t>
  </si>
  <si>
    <t>525</t>
  </si>
  <si>
    <t>526</t>
  </si>
  <si>
    <t>527</t>
  </si>
  <si>
    <t>528</t>
  </si>
  <si>
    <t>Termostatická hlavice s pojistkou proti odcizení</t>
  </si>
  <si>
    <t>529</t>
  </si>
  <si>
    <t>530</t>
  </si>
  <si>
    <t>531</t>
  </si>
  <si>
    <t>přímý - DN 10</t>
  </si>
  <si>
    <t>532</t>
  </si>
  <si>
    <t>přímý - DN 15</t>
  </si>
  <si>
    <t>533</t>
  </si>
  <si>
    <t>534</t>
  </si>
  <si>
    <t>535</t>
  </si>
  <si>
    <t>rohový - DN 10</t>
  </si>
  <si>
    <t>536</t>
  </si>
  <si>
    <t>rohový - DN 15</t>
  </si>
  <si>
    <t>537</t>
  </si>
  <si>
    <t xml:space="preserve">Uzavíratelné a regulační šroubení s vypouštěním 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</si>
  <si>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</si>
  <si>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</si>
  <si>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</si>
  <si>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</si>
  <si>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</si>
  <si>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</si>
  <si>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</si>
  <si>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</si>
  <si>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</si>
  <si>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Ventil odvzdušňovací  pro litinová tělesa 1/4"</t>
  </si>
  <si>
    <t>547</t>
  </si>
  <si>
    <t>734211112/P</t>
  </si>
  <si>
    <t xml:space="preserve">Dtto, avšak montáž </t>
  </si>
  <si>
    <t>548</t>
  </si>
  <si>
    <t xml:space="preserve">Dtto, avšak demontáž </t>
  </si>
  <si>
    <t>549</t>
  </si>
  <si>
    <t>Ventil odvzdušňovací  pro 3/8"</t>
  </si>
  <si>
    <t>550</t>
  </si>
  <si>
    <t>734211113/P</t>
  </si>
  <si>
    <t>551</t>
  </si>
  <si>
    <t>553</t>
  </si>
  <si>
    <t>554</t>
  </si>
  <si>
    <t>Montáž termostatické hlavice ručního a termostatického ovládání</t>
  </si>
  <si>
    <t xml:space="preserve">ks </t>
  </si>
  <si>
    <t>555</t>
  </si>
  <si>
    <t>734291923/P</t>
  </si>
  <si>
    <t>Montáž nových radiátorových ventilů DN10 až DN20, přímých a rohových / kompletní provedení</t>
  </si>
  <si>
    <t>556</t>
  </si>
  <si>
    <t>557</t>
  </si>
  <si>
    <t>734291924/P</t>
  </si>
  <si>
    <t>558</t>
  </si>
  <si>
    <t>734190922/P</t>
  </si>
  <si>
    <t>559</t>
  </si>
  <si>
    <t>Montáž nových regulačních vyvažovacích ventilů do DN40</t>
  </si>
  <si>
    <t>560</t>
  </si>
  <si>
    <t>Montáž nových uzavíracích kohoutů do DN40,</t>
  </si>
  <si>
    <t>561</t>
  </si>
  <si>
    <t>562</t>
  </si>
  <si>
    <t>Zpětná montáž  stávajících litinových článkových vytápěcích těles s přípojkami DN20</t>
  </si>
  <si>
    <t>563</t>
  </si>
  <si>
    <t>Přesun hmot procentní pro armatury v objektech v.do 24m</t>
  </si>
  <si>
    <t>564</t>
  </si>
  <si>
    <t>565</t>
  </si>
  <si>
    <t>Napuštění vody do otopného systému včetně potrubí (bez kotle a ohříváků), otopných těles a s patronou na úpravu vody</t>
  </si>
  <si>
    <t>566</t>
  </si>
  <si>
    <t>dodávka +montáž</t>
  </si>
  <si>
    <t>Patrony na úpravu vody ks1 +1 náhradní</t>
  </si>
  <si>
    <t>567</t>
  </si>
  <si>
    <t>568</t>
  </si>
  <si>
    <t>569</t>
  </si>
  <si>
    <t>570</t>
  </si>
  <si>
    <t xml:space="preserve">Demontáže, přesun hmot </t>
  </si>
  <si>
    <t>571</t>
  </si>
  <si>
    <t>734300814/P</t>
  </si>
  <si>
    <t>Demontáž stávajících regulačních vyvažovacích ventilů DN15 až DN50, přímých a šikmých</t>
  </si>
  <si>
    <t>572</t>
  </si>
  <si>
    <t>Demontáž stávajících radiátorových ventilů DN10 až DN20, přímých a rohových</t>
  </si>
  <si>
    <t>573</t>
  </si>
  <si>
    <t>Demontáž stávajících radiátorových šroubení DN10 až DN20, přímých a rohových</t>
  </si>
  <si>
    <t>574</t>
  </si>
  <si>
    <t>575</t>
  </si>
  <si>
    <t>Demontáž stávajících uzavíracích kohoutů a šoupat DN15 až DN50, přímých a šikmých</t>
  </si>
  <si>
    <t>576</t>
  </si>
  <si>
    <t>Demontáž stávajících litinových článkových vytápěcích těles s přípojkami DN20</t>
  </si>
  <si>
    <t>577</t>
  </si>
  <si>
    <t>Demontáž posledního článku stávajících litinových článkových vytápěcích těles s přípojkami DN20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</si>
  <si>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</si>
  <si>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</si>
  <si>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</si>
  <si>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</si>
  <si>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</si>
  <si>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</si>
  <si>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</si>
  <si>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</si>
  <si>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</si>
  <si>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</si>
  <si>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</si>
  <si>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</si>
  <si>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</si>
  <si>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Izolace tepelné</t>
  </si>
  <si>
    <t>591</t>
  </si>
  <si>
    <t>Krycí folie na minerální tepelnou izolaci s Al. polepem tl. Izolace 100mm pro potrubí 2xDN200</t>
  </si>
  <si>
    <t>592</t>
  </si>
  <si>
    <t>593</t>
  </si>
  <si>
    <t>ISV.8592248027236 / dodávka</t>
  </si>
  <si>
    <t>.</t>
  </si>
  <si>
    <t>.. rohož na hliníkové fólii je vhodná zejména pro izolace potrubí</t>
  </si>
  <si>
    <t>594</t>
  </si>
  <si>
    <t>713471121
montáž</t>
  </si>
  <si>
    <t>Montáž tepelné izolace potrubí pásy s Pz pletivem v plechovém pouzdře s patentními uzávěry</t>
  </si>
  <si>
    <t>595</t>
  </si>
  <si>
    <t>596</t>
  </si>
  <si>
    <t>Přesun hmot procentní pro izolace tepelné v objektu do 24 m / 2,2%</t>
  </si>
  <si>
    <t>597</t>
  </si>
  <si>
    <t>598</t>
  </si>
  <si>
    <t>599</t>
  </si>
  <si>
    <t>800-721</t>
  </si>
  <si>
    <t>600</t>
  </si>
  <si>
    <t>601</t>
  </si>
  <si>
    <t>Vodovod</t>
  </si>
  <si>
    <t>602</t>
  </si>
  <si>
    <t>Z trubek ocelových pozinkovaných</t>
  </si>
  <si>
    <t>603</t>
  </si>
  <si>
    <t xml:space="preserve">Potrubí vodovodní DN 80 </t>
  </si>
  <si>
    <t>604</t>
  </si>
  <si>
    <t>Zkoušky, proplach a desinfekce vodovodního potrubí</t>
  </si>
  <si>
    <t>605</t>
  </si>
  <si>
    <t>606</t>
  </si>
  <si>
    <t>722 29 - 0234</t>
  </si>
  <si>
    <t>Proplach a dezinfekce vodovodu do DN 80</t>
  </si>
  <si>
    <t>607</t>
  </si>
  <si>
    <t>722 18-1</t>
  </si>
  <si>
    <t>Ochrana potrubí</t>
  </si>
  <si>
    <t>608</t>
  </si>
  <si>
    <t>609</t>
  </si>
  <si>
    <t>610</t>
  </si>
  <si>
    <t>Demontáže</t>
  </si>
  <si>
    <t>611</t>
  </si>
  <si>
    <t>722 13-0805</t>
  </si>
  <si>
    <t>612</t>
  </si>
  <si>
    <t>722 18-1817</t>
  </si>
  <si>
    <t>Demontáž plstěných pásů z potrubí do DN 150</t>
  </si>
  <si>
    <t>613</t>
  </si>
  <si>
    <t>722 21-1813</t>
  </si>
  <si>
    <t>Demontáž armatur přírubových DN 80</t>
  </si>
  <si>
    <t>614</t>
  </si>
  <si>
    <t>Opravy potrubí</t>
  </si>
  <si>
    <t>615</t>
  </si>
  <si>
    <t>722 13-1938</t>
  </si>
  <si>
    <t xml:space="preserve">propoj dosavadního potrubí DN 80 </t>
  </si>
  <si>
    <t>616</t>
  </si>
  <si>
    <t>617</t>
  </si>
  <si>
    <t>618</t>
  </si>
  <si>
    <t>Dokončovací práce - HZS - celkem</t>
  </si>
  <si>
    <t>619</t>
  </si>
  <si>
    <t>620</t>
  </si>
  <si>
    <t>621</t>
  </si>
  <si>
    <t>HZS4211</t>
  </si>
  <si>
    <t xml:space="preserve">Vedlejší rozpočtové náklady  </t>
  </si>
  <si>
    <t>celek</t>
  </si>
  <si>
    <t>Dopravní značení na staveništi</t>
  </si>
  <si>
    <t>Informační tabule na staveništi</t>
  </si>
  <si>
    <t>1025</t>
  </si>
  <si>
    <t>1026</t>
  </si>
  <si>
    <t>1027</t>
  </si>
  <si>
    <t>1028</t>
  </si>
  <si>
    <t>1029</t>
  </si>
  <si>
    <t xml:space="preserve"> R O Z P O Č E T </t>
  </si>
  <si>
    <t>stupeň</t>
  </si>
  <si>
    <t>Dokumentace pro provedení stavby</t>
  </si>
  <si>
    <t>na akci:</t>
  </si>
  <si>
    <t>místo stavby :</t>
  </si>
  <si>
    <t>Právnická fakulta</t>
  </si>
  <si>
    <t>Náměstí Curieových 7, 116 40 Praha 1</t>
  </si>
  <si>
    <t>investor - stavebník :</t>
  </si>
  <si>
    <t xml:space="preserve">PRÁVNICKÁ FAKULTA UK </t>
  </si>
  <si>
    <t>hlavní projektant</t>
  </si>
  <si>
    <t>Ing. Jiří Žoček</t>
  </si>
  <si>
    <t>Projekty TZB</t>
  </si>
  <si>
    <t>Jeseniova 1196/52</t>
  </si>
  <si>
    <t>Praha 3</t>
  </si>
  <si>
    <t>rozpočet sestavil:</t>
  </si>
  <si>
    <t>Věra Ulčová (+420773518887)</t>
  </si>
  <si>
    <t xml:space="preserve">Mirovická 1081, 182 00 Praha 8 </t>
  </si>
  <si>
    <t>email: vera.ulcova@volny.cz</t>
  </si>
  <si>
    <t>ing Josef Fuk (+420606643181)</t>
  </si>
  <si>
    <t>V Podbabě 2516, 160 00 Praha 6</t>
  </si>
  <si>
    <t>email: pepifuk@sipk.cz</t>
  </si>
  <si>
    <t xml:space="preserve"> R O Z P O Č E T - n á v r h</t>
  </si>
  <si>
    <t>Aktualizace a doplnění PD - oprava a regulace stávajícího topného systému v objektu UK PF úprava stávajících prostor Právnické fakulty</t>
  </si>
  <si>
    <t>Aktualizace a doplnění PD - oprava a regulace stávajícího topného systému v objektu UK PFStavební úprava stávajících prostor Právnické fakulty</t>
  </si>
  <si>
    <t>552</t>
  </si>
  <si>
    <t>735191904/P</t>
  </si>
  <si>
    <t>Přípravné práce pro proplach a nátěry otopných těles a malby po nátěrech</t>
  </si>
  <si>
    <t>Po proplachu a úpravě těles opravit poškozenou malbu stěn. Výmalbu sjednotit s okolní plochou stěn.</t>
  </si>
  <si>
    <t xml:space="preserve">kč </t>
  </si>
  <si>
    <t>783 - Proplach otopných těles</t>
  </si>
  <si>
    <t>Opatření na ochranu sousedních pozemků  se staveništěm (oplocení+ ochranné zábrany)</t>
  </si>
  <si>
    <t>Rozebrání, bourání a odvoz zařízení staveniště</t>
  </si>
  <si>
    <t>Provozní zařízení ve dvoře</t>
  </si>
  <si>
    <t>Hygienické zázemí a sklad v budově</t>
  </si>
  <si>
    <t>Výrobní dokumentace</t>
  </si>
  <si>
    <t>Náklady na opatření BOZP</t>
  </si>
  <si>
    <t xml:space="preserve"> :</t>
  </si>
  <si>
    <t>Přesun hmot procentní pro vnitřní vodovod v objektech v přes 12 do 24 m . 1,12%</t>
  </si>
  <si>
    <t>735159340/P</t>
  </si>
  <si>
    <t>733190107</t>
  </si>
  <si>
    <t>CÚ2023 /I</t>
  </si>
  <si>
    <t xml:space="preserve">  12 - 500/160 /ks 2/ (0,255m2/čl.)</t>
  </si>
  <si>
    <t>m.č.</t>
  </si>
  <si>
    <t xml:space="preserve">  22 - 500/160 /ks 1/ (0,255m2/čl.)</t>
  </si>
  <si>
    <t xml:space="preserve">  20 - 500/160 /ks 2/ (0,255m2/čl.)</t>
  </si>
  <si>
    <t xml:space="preserve">  16 - 500/160 /ks 2/ (0,255m2/čl.)</t>
  </si>
  <si>
    <t xml:space="preserve">  24 - 500/160 /ks 2/ (0,255m2/čl.)</t>
  </si>
  <si>
    <t xml:space="preserve">  22 - 500/160 /ks 4/ (0,255m2/čl.)</t>
  </si>
  <si>
    <t xml:space="preserve">  10 - 900/70 /ks 1/ (0,205m2/čl.)</t>
  </si>
  <si>
    <t xml:space="preserve">  12 - 900/160 /ks 1/ (0,440m2/čl.)</t>
  </si>
  <si>
    <t>014.1</t>
  </si>
  <si>
    <t>014.2</t>
  </si>
  <si>
    <t>012</t>
  </si>
  <si>
    <t xml:space="preserve">  18 - 500/160 /ks 1/ (0,255m2/čl.)</t>
  </si>
  <si>
    <t xml:space="preserve">  17 - 500/160 /ks 1/ (0,255m2/čl.)</t>
  </si>
  <si>
    <t>010.1</t>
  </si>
  <si>
    <t>009.1</t>
  </si>
  <si>
    <t xml:space="preserve">  14 - 500/160 /ks 6/ (0,255m2/čl.)</t>
  </si>
  <si>
    <t xml:space="preserve">  19 - 500/160 /ks 1/ (0,255m2/čl.)</t>
  </si>
  <si>
    <t>005.1</t>
  </si>
  <si>
    <t>007_1</t>
  </si>
  <si>
    <t>004.1</t>
  </si>
  <si>
    <t>003</t>
  </si>
  <si>
    <t>002</t>
  </si>
  <si>
    <t>038</t>
  </si>
  <si>
    <t xml:space="preserve">  20- 350/160 /ks 3/ (0,185m2/čl.)</t>
  </si>
  <si>
    <t xml:space="preserve">  24 - 500/160 /ks 3/ (0,255m2/čl.)</t>
  </si>
  <si>
    <t xml:space="preserve">  18- 500/160 /ks 1/ (0,255m2/čl.)</t>
  </si>
  <si>
    <t xml:space="preserve">  18- 500/160 /ks 2/ (0,255m2/čl.)</t>
  </si>
  <si>
    <t xml:space="preserve">  20 - 500/160 /ks 1/ (0,255m2/čl.)</t>
  </si>
  <si>
    <t xml:space="preserve">  17- 500/160 /ks 1/ (0,255m2/čl.)</t>
  </si>
  <si>
    <t xml:space="preserve">  22 - 500/160 /ks 3/ (0,255m2/čl.)</t>
  </si>
  <si>
    <t xml:space="preserve">  28 - 500/160 /ks 1/ (0,255m2/čl.)</t>
  </si>
  <si>
    <t xml:space="preserve">  16 - 500/160 /ks 3/ (0,255m2/čl.)</t>
  </si>
  <si>
    <t>206.1</t>
  </si>
  <si>
    <t>203.1</t>
  </si>
  <si>
    <t xml:space="preserve">  30 - 500/160 /ks 1/ (0,255m2/čl.)</t>
  </si>
  <si>
    <t xml:space="preserve">  22- 500/160 /ks 1/ (0,255m2/čl.)</t>
  </si>
  <si>
    <t xml:space="preserve">  22- 500/160 /ks 3/ (0,255m2/čl.)</t>
  </si>
  <si>
    <t xml:space="preserve">  16- 500/160 /ks 1/ (0,255m2/čl.)</t>
  </si>
  <si>
    <t xml:space="preserve">  16- 500/160 /ks 2/ (0,255m2/čl.)</t>
  </si>
  <si>
    <t xml:space="preserve">  24- 500/160 /ks 1/ (0,255m2/čl.)</t>
  </si>
  <si>
    <t xml:space="preserve">  20- 500/160 /ks 1/ (0,255m2/čl.)</t>
  </si>
  <si>
    <t xml:space="preserve">  29- 500/160 /ks 1/ (0,255m2/čl.)</t>
  </si>
  <si>
    <t xml:space="preserve">  13- 900/160 /ks 1/ (0,440m2/čl.)</t>
  </si>
  <si>
    <t xml:space="preserve">  30- 500/160 /ks 2/ (0,255m2/čl.)</t>
  </si>
  <si>
    <t xml:space="preserve">  26 - 500/160 /ks 1/ (0,255m2/čl.)</t>
  </si>
  <si>
    <t xml:space="preserve">  30 - 500/160 /ks 2/ (0,255m2/čl.)</t>
  </si>
  <si>
    <t xml:space="preserve">  30 - 500/160 /ks 3/ (0,255m2/čl.)</t>
  </si>
  <si>
    <t xml:space="preserve">  7- 900/160 /ks 1/ (0,440m2/čl.)</t>
  </si>
  <si>
    <t>021</t>
  </si>
  <si>
    <t xml:space="preserve">  28 - 500/160 /ks1/ (0,255m2/čl.)</t>
  </si>
  <si>
    <t xml:space="preserve">  19 - 500/160 /ks1/ (0,255m2/čl.)</t>
  </si>
  <si>
    <t xml:space="preserve"> 19 - 500/160 /ks1/ (0,255m2/čl.)</t>
  </si>
  <si>
    <t xml:space="preserve">  22 - 500/160 /ks1/ (0,255m2/čl.)</t>
  </si>
  <si>
    <t>126-1</t>
  </si>
  <si>
    <t xml:space="preserve">  19 - 500/160 /ks 2/ (0,255m2/čl.)</t>
  </si>
  <si>
    <t xml:space="preserve">  25 - 500/160 /ks 2/ (0,255m2/čl.)</t>
  </si>
  <si>
    <t>340_4</t>
  </si>
  <si>
    <t xml:space="preserve">  25 - 500/160 /ks 1/ (0,255m2/čl.)</t>
  </si>
  <si>
    <t>030_1</t>
  </si>
  <si>
    <t xml:space="preserve">  19- 500/160 /ks 1/ (0,255m2/čl.)</t>
  </si>
  <si>
    <t xml:space="preserve">  23 - 500/160 /ks 1/ (0,255m2/čl.)</t>
  </si>
  <si>
    <t xml:space="preserve">  20 - 350/160 /ks 3/ (0,185m2/čl.)</t>
  </si>
  <si>
    <t xml:space="preserve">  21- 500/160 /ks 1/ (0,255m2/čl.)</t>
  </si>
  <si>
    <t>238-1</t>
  </si>
  <si>
    <t xml:space="preserve">  25- 500/160 /ks 1/ (0,255m2/čl.)</t>
  </si>
  <si>
    <t xml:space="preserve">  23- 500/160 /ks 1/ (0,255m2/čl.)</t>
  </si>
  <si>
    <t xml:space="preserve">  26- 500/160 /ks 2/ (0,255m2/čl.)</t>
  </si>
  <si>
    <t xml:space="preserve">  23- 500/160 /ks 2/ (0,255m2/čl.)</t>
  </si>
  <si>
    <t>větev VÝCHOD 1</t>
  </si>
  <si>
    <t>011_1</t>
  </si>
  <si>
    <t xml:space="preserve">  13- 900/70 /ks 1/ (0,205m2/čl.)</t>
  </si>
  <si>
    <t xml:space="preserve">  12- 900/70 /ks 1/ (0,205m2/čl.)</t>
  </si>
  <si>
    <t xml:space="preserve">  8 - 900/70 /ks 1/ (0,205m2/čl.)</t>
  </si>
  <si>
    <t xml:space="preserve">  5 - 900/70 /ks 1/ (0,205m2/čl.)</t>
  </si>
  <si>
    <t xml:space="preserve">  18 - 900/160 /ks 1/ (0,440m2/čl.)</t>
  </si>
  <si>
    <t>054_3</t>
  </si>
  <si>
    <t xml:space="preserve">  19 - 900/160 /ks 1/ (0,440m2/čl.)</t>
  </si>
  <si>
    <t xml:space="preserve"> těleso plechové / jen nová Termo.Hlavice</t>
  </si>
  <si>
    <t xml:space="preserve">  25 - 900/160 /ks 1/ (0,440m2/čl.)</t>
  </si>
  <si>
    <t xml:space="preserve">  20 - 900/160 /ks 4/ (0,440m2/čl.)</t>
  </si>
  <si>
    <t>252_2</t>
  </si>
  <si>
    <t xml:space="preserve">  14- 500/160 /ks 1/ (0,255m2/čl.)</t>
  </si>
  <si>
    <t xml:space="preserve">  20 - 900/160 /ks 2/ (0,440m2/čl.)</t>
  </si>
  <si>
    <t xml:space="preserve">  20 - 900/160 /ks 3/ (0,440m2/čl.)</t>
  </si>
  <si>
    <t xml:space="preserve">  20 - 500/160 /ks 3/ (0,255m2/čl.)</t>
  </si>
  <si>
    <t>větev VÝCHOD 2</t>
  </si>
  <si>
    <t xml:space="preserve">  18 - 900/160 /ks 3/ (0,440m2/čl.)</t>
  </si>
  <si>
    <t>036</t>
  </si>
  <si>
    <t xml:space="preserve">  23 - 350/160 /ks 2/ (0,185m2/čl.)</t>
  </si>
  <si>
    <t xml:space="preserve">  10 - 500/160 /ks 1/ (0,255m2/čl.)</t>
  </si>
  <si>
    <t>251_1</t>
  </si>
  <si>
    <t xml:space="preserve">  11 - 500/160 /ks 1/ (0,255m2/čl.)</t>
  </si>
  <si>
    <t>větev ZÁPAD 1</t>
  </si>
  <si>
    <t xml:space="preserve">  9 - 900/160 /ks 1/ (0,440m2/čl.)</t>
  </si>
  <si>
    <t>020</t>
  </si>
  <si>
    <t>019</t>
  </si>
  <si>
    <t xml:space="preserve">  21 - 500/160 /ks 1/ (0,255m2/čl.)</t>
  </si>
  <si>
    <t xml:space="preserve">  25 - 500/160 /ks 5/ (0,255m2/čl.)</t>
  </si>
  <si>
    <t>015</t>
  </si>
  <si>
    <t>119_1</t>
  </si>
  <si>
    <t>332_2</t>
  </si>
  <si>
    <t>větev ZÁPAD 2</t>
  </si>
  <si>
    <t xml:space="preserve">  10 - 900/160 /ks 1 / (0,440m2/čl.)</t>
  </si>
  <si>
    <t xml:space="preserve">  6 - 900/160 /ks 1 / (0,440m2/čl.)</t>
  </si>
  <si>
    <t xml:space="preserve">  8 - 500/160 /ks 1/ (0,255m2/čl.)</t>
  </si>
  <si>
    <t xml:space="preserve">  5 - 900/160 /ks 1 / (0,440m2/čl.)</t>
  </si>
  <si>
    <t xml:space="preserve">  9 - 900/70 /ks 1/ (0,205m2/čl.)</t>
  </si>
  <si>
    <t>054_4</t>
  </si>
  <si>
    <t xml:space="preserve">  10- 500/160 /ks 1/ (0,255m2/čl.)</t>
  </si>
  <si>
    <t>059</t>
  </si>
  <si>
    <t>056</t>
  </si>
  <si>
    <t xml:space="preserve"> 10- 900/70 /ks 1/ (0,205m2/čl.)</t>
  </si>
  <si>
    <t xml:space="preserve">  15 - 900/160 /ks 1/ (0,440m2/čl.)</t>
  </si>
  <si>
    <t xml:space="preserve">  11 - 900/70 /ks 1/ (0,205m2/čl.)</t>
  </si>
  <si>
    <t xml:space="preserve">  21 - 900/160 /ks 1/ (0,440m2/čl.)</t>
  </si>
  <si>
    <t xml:space="preserve">  6 - 900/70 /ks 1/ (0,205m2/čl.)</t>
  </si>
  <si>
    <t xml:space="preserve">  7 - 900/70 /ks 1/ (0,205m2/čl.)</t>
  </si>
  <si>
    <t xml:space="preserve">  9 - 500/160 /ks 1/ (0,255m2/čl.)</t>
  </si>
  <si>
    <t>větev VÝCHOD DVŮR 1</t>
  </si>
  <si>
    <t>119_3</t>
  </si>
  <si>
    <t xml:space="preserve">  10 - 500/160 /ks 2/ (0,255m2/čl.)</t>
  </si>
  <si>
    <t xml:space="preserve">  10 - 500/160 /ks 3/ (0,255m2/čl.)</t>
  </si>
  <si>
    <t>1.PP/ PP01  -   větev / východní dvůr</t>
  </si>
  <si>
    <t>1.NP / NP00  -   větev / východní dvůr</t>
  </si>
  <si>
    <t xml:space="preserve">  10 - 500/160 /ks 4/ (0,255m2/čl.)</t>
  </si>
  <si>
    <t>2.NP / NP01  -   větev / východní dvůr</t>
  </si>
  <si>
    <t>3.NP / NP02  -   větev / východní dvůr</t>
  </si>
  <si>
    <t xml:space="preserve">  11 - 500/160 /ks 2/ (0,255m2/čl.)</t>
  </si>
  <si>
    <t xml:space="preserve">  20 - 350/160 /ks 1/ (0,185m2/čl.)</t>
  </si>
  <si>
    <t>4.NP / NP03  -   větev / východní dvůr</t>
  </si>
  <si>
    <t xml:space="preserve">  14 - 500/160 /ks 3/ (0,255m2/čl.)</t>
  </si>
  <si>
    <t>větev BYTY</t>
  </si>
  <si>
    <t>1.PP/ PP01  -   větev / BYTY - LEVÁ část</t>
  </si>
  <si>
    <t xml:space="preserve">  - těleso plechové / jen nová Termo.Hlavice</t>
  </si>
  <si>
    <t>066</t>
  </si>
  <si>
    <t xml:space="preserve">  17 - 500/160 /ks2/ (0,255m2/čl.)</t>
  </si>
  <si>
    <t xml:space="preserve">  12 - 500/160 /ks1/ (0,255m2/čl.)</t>
  </si>
  <si>
    <t xml:space="preserve">  13 - 500/160 /ks1/ (0,255m2/čl.)</t>
  </si>
  <si>
    <t xml:space="preserve">  10 - 500/160 /ks1/ (0,255m2/čl.)</t>
  </si>
  <si>
    <t xml:space="preserve">  - těleso plechové 22-1400/600  /  jen nová Termo.Hlavice</t>
  </si>
  <si>
    <t xml:space="preserve">  - těleso plechové 22-800/900  /  jen nová Termo.Hlavice</t>
  </si>
  <si>
    <t>082</t>
  </si>
  <si>
    <t xml:space="preserve">  12 - 900/70/ks 1/ (0,205m2/čl.)</t>
  </si>
  <si>
    <t xml:space="preserve">  18 - 900/160 /ks 2/ (0,440m2/čl.)</t>
  </si>
  <si>
    <t xml:space="preserve">  28- 500/160 /ks 1/ (0,255m2/čl.)</t>
  </si>
  <si>
    <t xml:space="preserve">  11- 500/160 /ks 1/ (0,255m2/čl.)</t>
  </si>
  <si>
    <t>nové těleso plechové  /22 - 600/600 TH</t>
  </si>
  <si>
    <t>Celková plocha otopných ploch litinových radiátorů</t>
  </si>
  <si>
    <t>větev - Dvořákovo náměstí- sever</t>
  </si>
  <si>
    <t>větev - 17.listopadu - jih</t>
  </si>
  <si>
    <t>větev - Východ 1</t>
  </si>
  <si>
    <t>DN 32</t>
  </si>
  <si>
    <t>větev - Východ 2</t>
  </si>
  <si>
    <t>větev - Západ 1</t>
  </si>
  <si>
    <t>větev - Západ 2</t>
  </si>
  <si>
    <t>větev - Východ dvůr</t>
  </si>
  <si>
    <t>větev - Byty</t>
  </si>
  <si>
    <t>Přesun hmot procentní pro rozvody potrubí v objektech v přes 12 do 24 m  %</t>
  </si>
  <si>
    <t xml:space="preserve">celkem ks </t>
  </si>
  <si>
    <t>DN 40</t>
  </si>
  <si>
    <t xml:space="preserve"> DN 15</t>
  </si>
  <si>
    <t xml:space="preserve">  DN 25</t>
  </si>
  <si>
    <t xml:space="preserve">  DN 15</t>
  </si>
  <si>
    <t xml:space="preserve">  DN 20</t>
  </si>
  <si>
    <t>735111810/P</t>
  </si>
  <si>
    <t>Šroubení  uzavíratelné s vypouštěním  rohové DN 20</t>
  </si>
  <si>
    <t>Šroubení uzavíratelné s vypouštěním  rohové DN 10</t>
  </si>
  <si>
    <t>Šroubení uzavíratelné s vypouštěním  rohové DN 15</t>
  </si>
  <si>
    <t>Šroubení uzavíratelné s vypouštěním - přímé DN 10</t>
  </si>
  <si>
    <t>Šroubení  uzavíratelné s vypouštěním - přímé DN 15</t>
  </si>
  <si>
    <t>Šroubení s uzavíratelné s vypouštěním - přímé DN 20</t>
  </si>
  <si>
    <t xml:space="preserve">Výměna  dodávka + montáž </t>
  </si>
  <si>
    <t>Montáž nových ocelových těles připevněných na zeď  (kompletní provedení)</t>
  </si>
  <si>
    <t>733191914/P</t>
  </si>
  <si>
    <t>Zaslepení přípojek -ks2 po demontáži otopného tělesa</t>
  </si>
  <si>
    <t>výměra pro obložení výtahu a nášlapné plochy 2,0*2,0 +(2,0+2,0)*2*1,50</t>
  </si>
  <si>
    <t>větev  - Východ 1</t>
  </si>
  <si>
    <t>větev  - Východ 2</t>
  </si>
  <si>
    <t>větev  - Západ 1</t>
  </si>
  <si>
    <t>větev  - Západ 2</t>
  </si>
  <si>
    <t>větev  - Východ dvůr 1</t>
  </si>
  <si>
    <t>větev  - Byty</t>
  </si>
  <si>
    <t>výměry : 410*5,0</t>
  </si>
  <si>
    <t>919726121.MTM</t>
  </si>
  <si>
    <t>Krycí dvojnásobný akrylátový nátěr článkových otopných těles</t>
  </si>
  <si>
    <t>Základní jednonásobný akrylátový nátěr litinových otopných těles</t>
  </si>
  <si>
    <t xml:space="preserve">Základní jednonásobný akrylátový nátěr potrubí přes DN 50mm </t>
  </si>
  <si>
    <t>Krycí dvojnásobný akrylátový tepelně odolný nátěr potrubí DN do 50 mm</t>
  </si>
  <si>
    <t>ks - tělesa</t>
  </si>
  <si>
    <t xml:space="preserve">Ocelové plechy cca tl.2mm dodávka+ osazení+ - (podklad-ochrana- při svařování článků)
</t>
  </si>
  <si>
    <t>Dokumentace skutečného provedení</t>
  </si>
  <si>
    <t>Úprava přípojek k natřeným litinovým  tělesům výměra : 410ks*2</t>
  </si>
  <si>
    <t>998734203</t>
  </si>
  <si>
    <t>Požární dohled dle vyhlášky 87/2000 Sb.</t>
  </si>
  <si>
    <t>Proplach otopných těles a oprava malby po poškození proplachem</t>
  </si>
  <si>
    <t>Demontáž ocelového pozinkovaného potrubí do DN 85</t>
  </si>
  <si>
    <t>Zkušební provoz  + vyregulování systému</t>
  </si>
  <si>
    <t>733190108/P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</si>
  <si>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</si>
  <si>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</si>
  <si>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</si>
  <si>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</si>
  <si>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</si>
  <si>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</si>
  <si>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</si>
  <si>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</si>
  <si>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</si>
  <si>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</si>
  <si>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</si>
  <si>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</si>
  <si>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</si>
  <si>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</si>
  <si>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</si>
  <si>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</si>
  <si>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</si>
  <si>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</si>
  <si>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</si>
  <si>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</si>
  <si>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</si>
  <si>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</si>
  <si>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</si>
  <si>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</si>
  <si>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</si>
  <si>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</si>
  <si>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</si>
  <si>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</si>
  <si>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</si>
  <si>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</si>
  <si>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</si>
  <si>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</si>
  <si>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</si>
  <si>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</si>
  <si>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</si>
  <si>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</si>
  <si>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</si>
  <si>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</si>
  <si>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</si>
  <si>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</si>
  <si>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</si>
  <si>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</si>
  <si>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</si>
  <si>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</si>
  <si>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</si>
  <si>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</si>
  <si>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</si>
  <si>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</si>
  <si>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</si>
  <si>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</si>
  <si>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</si>
  <si>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</si>
  <si>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</si>
  <si>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</si>
  <si>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</si>
  <si>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</si>
  <si>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</si>
  <si>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</si>
  <si>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</si>
  <si>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</si>
  <si>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</si>
  <si>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</si>
  <si>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</si>
  <si>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</si>
  <si>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</si>
  <si>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</si>
  <si>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</si>
  <si>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</si>
  <si>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</si>
  <si>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</si>
  <si>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</si>
  <si>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</si>
  <si>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</si>
  <si>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</si>
  <si>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</si>
  <si>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</si>
  <si>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</si>
  <si>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</si>
  <si>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</si>
  <si>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</si>
  <si>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</si>
  <si>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</si>
  <si>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</si>
  <si>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</si>
  <si>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</si>
  <si>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</si>
  <si>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</si>
  <si>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</si>
  <si>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</si>
  <si>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</si>
  <si>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</si>
  <si>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</si>
  <si>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</si>
  <si>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</si>
  <si>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</si>
  <si>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</si>
  <si>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</si>
  <si>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</si>
  <si>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</si>
  <si>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</si>
  <si>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</si>
  <si>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</si>
  <si>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</si>
  <si>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</si>
  <si>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</si>
  <si>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</si>
  <si>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</si>
  <si>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</si>
  <si>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</si>
  <si>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</si>
  <si>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</si>
  <si>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</si>
  <si>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</si>
  <si>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</si>
  <si>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</si>
  <si>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</si>
  <si>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</si>
  <si>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</si>
  <si>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</si>
  <si>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</si>
  <si>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</si>
  <si>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</si>
  <si>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</si>
  <si>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</si>
  <si>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</si>
  <si>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</si>
  <si>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</si>
  <si>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</si>
  <si>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</si>
  <si>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</si>
  <si>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</si>
  <si>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</si>
  <si>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</si>
  <si>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</si>
  <si>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</si>
  <si>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</si>
  <si>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</si>
  <si>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</si>
  <si>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</si>
  <si>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</si>
  <si>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</si>
  <si>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</si>
  <si>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</si>
  <si>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</si>
  <si>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</si>
  <si>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</si>
  <si>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</si>
  <si>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součet bez DPH</t>
  </si>
  <si>
    <t>výměra pod otopná tělesa ; 410ks*1,00*1,20</t>
  </si>
  <si>
    <t>výměra: (492+16,0 )*0,01140t</t>
  </si>
  <si>
    <t>619996145 
Dodávka+
Montáž+
odstranění</t>
  </si>
  <si>
    <t xml:space="preserve">Odpojení a připojení otopného tělesa litinového po nátěru </t>
  </si>
  <si>
    <t xml:space="preserve">větev SEVER - Dvořákovo nám </t>
  </si>
  <si>
    <t xml:space="preserve">větev  JIH - 17. listopadu </t>
  </si>
  <si>
    <t>Přetěsnění růžice radiátorové otopných těles litinových článkových : výměra 410ks*4</t>
  </si>
  <si>
    <t>Rozpojení tělesa otopného teplovodního (cca 20%) při přetěsnění článku</t>
  </si>
  <si>
    <t>Stažení otopného tělesa (cca 20%)</t>
  </si>
  <si>
    <t>Růžice krycí 5/4" x 1/4" - +výměna za stávající s odvzdušněním (kompletní provedení)</t>
  </si>
  <si>
    <t xml:space="preserve">Vypouštění vody z vodorovného (přívodní + zpátečka) a připojovacího potrubí </t>
  </si>
  <si>
    <t>výměra 1,50*1,50*410ks</t>
  </si>
  <si>
    <r>
      <rPr>
        <b/>
        <sz val="10"/>
        <rFont val="Calibri"/>
        <family val="2"/>
        <charset val="238"/>
      </rPr>
      <t>Kontrola držáků a konzol</t>
    </r>
    <r>
      <rPr>
        <sz val="10"/>
        <rFont val="Calibri"/>
        <family val="2"/>
        <charset val="238"/>
      </rPr>
      <t xml:space="preserve"> (uchycení 4ks na otopné těleso) v podlaží 2.PP, 1.PP,1.NP až 4.NP (celkem pro 410 otopných těles)
výměra: 410*4</t>
    </r>
  </si>
  <si>
    <t xml:space="preserve">  16- 500/160 /ks 3/ (0,255m2/čl.)</t>
  </si>
  <si>
    <t xml:space="preserve">  20- 900/160 /ks 3/ (0,440m2/čl.)</t>
  </si>
  <si>
    <t>Odvzdušnění všech otopných těles litinových článkových i ocelových deskových</t>
  </si>
  <si>
    <t>Radiátorový termostatický samoregulační  ventil  s AFC technologií přímé nebo rohové DN10až DN</t>
  </si>
  <si>
    <t xml:space="preserve">Osazení nových připojovacích a odvzdušňovacích  růžic  u stávajících litinových článkových vytápěcích těles s přípojkami do DN20 -dodávka je stávající </t>
  </si>
  <si>
    <t>1</t>
  </si>
  <si>
    <t xml:space="preserve">Opravy článků otopných těles  - samostatné svařování - sváry koutové, lemové do průřezu svaru 5 mm  (cca 410*0,10 *2) </t>
  </si>
  <si>
    <t>Tlaková i topná zkouška po jednotlivých větvích a celkového topného systému :  (9*2)</t>
  </si>
  <si>
    <t>735000912/P</t>
  </si>
  <si>
    <t>Kulové kohouty s vypouštěním (DN 10 až DN40) dle půdorysů a schémat</t>
  </si>
  <si>
    <t>734291922/P</t>
  </si>
  <si>
    <t>Montáž nových radiátorových uzavíratelných  šroubení DN10 až DN32, přímých a rohových / kompletní provedení</t>
  </si>
  <si>
    <t xml:space="preserve"> přímý - DN25</t>
  </si>
  <si>
    <t>751322811/P</t>
  </si>
  <si>
    <t>Úprava přípojky pro montáž nových radiátorových ventilů DN10 až DN32, přímých a rohových</t>
  </si>
  <si>
    <t>Úprava přípojky pro montáž nových radiátorových šroubení DN10 až DN32,, přímých a rohových/ kompletní provedení</t>
  </si>
  <si>
    <t>734291913/P</t>
  </si>
  <si>
    <t>735119140/P</t>
  </si>
  <si>
    <t>998733203/P</t>
  </si>
  <si>
    <t>pro otopná tělesa+vodorovné a stoupací  potrubí</t>
  </si>
  <si>
    <t>735191910/P</t>
  </si>
  <si>
    <t>734300812/P</t>
  </si>
  <si>
    <t>Přesun hmot procentní pro armatury v do 24m</t>
  </si>
  <si>
    <t>722 13-0238</t>
  </si>
  <si>
    <t>722 29-0229</t>
  </si>
  <si>
    <t>Tlaková zkouška vodovodu do DN 80</t>
  </si>
  <si>
    <t>713470001/P</t>
  </si>
  <si>
    <t>izolace potrubí tl. Do 15 mm DN do 92 mm (dodávka+montáž)</t>
  </si>
  <si>
    <t>091003000</t>
  </si>
  <si>
    <t>09100300</t>
  </si>
  <si>
    <t>094104000</t>
  </si>
  <si>
    <t xml:space="preserve"> Náklady na zhotovení, předložení a odstranění použitých vzorků materiálů a kvality práce pro zhotovení díla, předepsané zkoušky a atesty podle příslušných předpisů, norem pro prokázání bezchybné funkce díla.</t>
  </si>
  <si>
    <t xml:space="preserve">1) Pro jednoznačné nacenění jednotlivých prací a dodávek uvedených  v Soupise prací , je  nutné je oceňovat současně se čtením Projektové Dokumentace a Technické Zprávy. </t>
  </si>
  <si>
    <t>Ostatní náklady</t>
  </si>
  <si>
    <t>3)Náklady na přípomoce,pomocný a montážní materiál</t>
  </si>
  <si>
    <t>4)Jednotkové ceny uvedené v Soupise prací budou 
zahrnovat veškeré práce(montáže)a dodávky potřebné pro dokončení a předání díla objednateli do užívání bez vad a nedodělků. Nabízené jednotkové ceny jsou pevné ceny, platné až do přejímky ve smyslu obchodního práva.</t>
  </si>
  <si>
    <t>5) Podrobnosti a specifikace viz Výrobní dokumentace zhotovitele.</t>
  </si>
  <si>
    <t>Odvoz  demontovaných hmot   do 1 km se složením do Kovošrotu (sběrné suroviny)</t>
  </si>
  <si>
    <t xml:space="preserve">Náklady na veškerý úklid na staveništi uvnitř i vně během zhotovování díla bude prováděný pravidelně a konečný úklid před přejímkou. Odvozy prováděné pravidelně zbylých hmot a odpadků během zhotovování díla a dle potřeby. </t>
  </si>
  <si>
    <t>Příplatek k odvozu  demontovaných hmot se složením do Kovošrotu (sběrné suroviny) ZKD 1 km přes 1 km (20km)</t>
  </si>
  <si>
    <t>Rekapitulace nákladů předpoklad pro rok 2023/1</t>
  </si>
  <si>
    <r>
      <rPr>
        <sz val="6"/>
        <rFont val="Calibri"/>
        <family val="2"/>
        <charset val="238"/>
      </rPr>
      <t>CDC.0008772.
URS/ P</t>
    </r>
    <r>
      <rPr>
        <sz val="7"/>
        <rFont val="Calibri"/>
        <family val="2"/>
        <charset val="238"/>
      </rPr>
      <t xml:space="preserve">
Dodávka+
423355315/P
montáž+
odstranění</t>
    </r>
  </si>
  <si>
    <r>
      <rPr>
        <b/>
        <sz val="9"/>
        <rFont val="Calibri"/>
        <family val="2"/>
        <charset val="238"/>
      </rPr>
      <t>Provizorní zakrytí</t>
    </r>
    <r>
      <rPr>
        <sz val="9"/>
        <rFont val="Calibri"/>
        <family val="2"/>
        <charset val="238"/>
      </rPr>
      <t xml:space="preserve"> stávajících ploch-( nášlapných) proti poškození(podlahové krytiny) při provádění prací na otopných těles + obložení výtahu - po celou dobu opravných prací ; 
např. ochrana - nehořlavé (cetris cca tl.08mm ) desky pro 410ks těles</t>
    </r>
  </si>
  <si>
    <r>
      <rPr>
        <b/>
        <sz val="9"/>
        <rFont val="Calibri"/>
        <family val="2"/>
        <charset val="238"/>
      </rPr>
      <t xml:space="preserve">Vodorovný přesun </t>
    </r>
    <r>
      <rPr>
        <sz val="9"/>
        <rFont val="Calibri"/>
        <family val="2"/>
        <charset val="238"/>
      </rPr>
      <t xml:space="preserve"> nehořlavých desek</t>
    </r>
  </si>
  <si>
    <r>
      <rPr>
        <b/>
        <sz val="9"/>
        <rFont val="Calibri"/>
        <family val="2"/>
        <charset val="238"/>
      </rPr>
      <t>Provizorní ochrana</t>
    </r>
    <r>
      <rPr>
        <sz val="9"/>
        <rFont val="Calibri"/>
        <family val="2"/>
        <charset val="238"/>
      </rPr>
      <t> stávajících svislých ploch konstrukcí (stěn) proti poškození při nátěrech otopných těles - použít - po celou dobu opravných prací ; např. ochrana geotextilii</t>
    </r>
  </si>
  <si>
    <r>
      <t>Vyčištění otopných těles </t>
    </r>
    <r>
      <rPr>
        <sz val="10"/>
        <rFont val="Calibri"/>
        <family val="2"/>
        <charset val="238"/>
      </rPr>
      <t xml:space="preserve">litinových </t>
    </r>
    <r>
      <rPr>
        <b/>
        <sz val="10"/>
        <rFont val="Calibri"/>
        <family val="2"/>
        <charset val="238"/>
      </rPr>
      <t>proplachem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 xml:space="preserve">vodou </t>
    </r>
    <r>
      <rPr>
        <sz val="10"/>
        <rFont val="Calibri"/>
        <family val="2"/>
        <charset val="238"/>
      </rPr>
      <t xml:space="preserve">na místě osazení, včetně proplachového zařízení, ochranná konstrukce pod tělesa proti vytopení včetně přemisťování,  zkouška těsnosti těles tlakem, odvoz a likvidace proplachu včetně usazenin  </t>
    </r>
  </si>
  <si>
    <r>
      <rPr>
        <b/>
        <sz val="9"/>
        <rFont val="Calibri"/>
        <family val="2"/>
        <charset val="238"/>
      </rPr>
      <t>Přetěsnění růžice</t>
    </r>
    <r>
      <rPr>
        <sz val="9"/>
        <rFont val="Calibri"/>
        <family val="2"/>
        <charset val="238"/>
      </rPr>
      <t xml:space="preserve"> radiátorové otopných těles litinových článkových; výměra 410*2</t>
    </r>
  </si>
  <si>
    <r>
      <rPr>
        <b/>
        <sz val="10"/>
        <rFont val="Calibri"/>
        <family val="2"/>
        <charset val="238"/>
      </rPr>
      <t>Vyregulování ventilu</t>
    </r>
    <r>
      <rPr>
        <sz val="10"/>
        <rFont val="Calibri"/>
        <family val="2"/>
        <charset val="238"/>
      </rPr>
      <t xml:space="preserve"> nebo kohoutu dvojregulačního s</t>
    </r>
    <r>
      <rPr>
        <b/>
        <sz val="10"/>
        <rFont val="Calibri"/>
        <family val="2"/>
        <charset val="238"/>
      </rPr>
      <t xml:space="preserve"> termostatickým ovládáním</t>
    </r>
  </si>
  <si>
    <r>
      <t xml:space="preserve">větev  SEVER / SEVER </t>
    </r>
    <r>
      <rPr>
        <b/>
        <sz val="9"/>
        <rFont val="Calibri"/>
        <family val="2"/>
        <charset val="238"/>
      </rPr>
      <t>LEVÁ</t>
    </r>
  </si>
  <si>
    <r>
      <t xml:space="preserve"> - </t>
    </r>
    <r>
      <rPr>
        <b/>
        <sz val="10"/>
        <rFont val="Calibri"/>
        <family val="2"/>
        <charset val="238"/>
      </rPr>
      <t>Dvořákovo náměstí</t>
    </r>
    <r>
      <rPr>
        <b/>
        <sz val="9"/>
        <rFont val="Calibri"/>
        <family val="2"/>
        <charset val="238"/>
      </rPr>
      <t xml:space="preserve"> - v.č. 1.4.1.9 / </t>
    </r>
    <r>
      <rPr>
        <sz val="9"/>
        <rFont val="Calibri"/>
        <family val="2"/>
        <charset val="238"/>
      </rPr>
      <t>mezisoučet</t>
    </r>
  </si>
  <si>
    <r>
      <t xml:space="preserve">1.PP/ PP01  -  SEVER LEVÁ  </t>
    </r>
    <r>
      <rPr>
        <sz val="9"/>
        <rFont val="Calibri"/>
        <family val="2"/>
        <charset val="238"/>
      </rPr>
      <t>(Dvořákovo nám.)</t>
    </r>
  </si>
  <si>
    <r>
      <t xml:space="preserve">1.NP/ NP00   -  SEVER </t>
    </r>
    <r>
      <rPr>
        <b/>
        <sz val="9"/>
        <rFont val="Calibri"/>
        <family val="2"/>
        <charset val="238"/>
      </rPr>
      <t>LEVÁ</t>
    </r>
    <r>
      <rPr>
        <b/>
        <sz val="10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(Dvořákovo nám.)</t>
    </r>
  </si>
  <si>
    <r>
      <t xml:space="preserve">2.NP/ NP01  -  SEVER </t>
    </r>
    <r>
      <rPr>
        <b/>
        <sz val="9"/>
        <rFont val="Calibri"/>
        <family val="2"/>
        <charset val="238"/>
      </rPr>
      <t>LEVÁ</t>
    </r>
    <r>
      <rPr>
        <b/>
        <sz val="10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(Dvořákovo nám.)</t>
    </r>
  </si>
  <si>
    <r>
      <t xml:space="preserve">3.NP/ NP02  -  SEVER </t>
    </r>
    <r>
      <rPr>
        <b/>
        <sz val="9"/>
        <rFont val="Calibri"/>
        <family val="2"/>
        <charset val="238"/>
      </rPr>
      <t>LEVÁ</t>
    </r>
    <r>
      <rPr>
        <b/>
        <sz val="10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(Dvořákovo nám.)</t>
    </r>
  </si>
  <si>
    <r>
      <t xml:space="preserve">4.NP/ NP03  -  SEVER </t>
    </r>
    <r>
      <rPr>
        <b/>
        <sz val="9"/>
        <rFont val="Calibri"/>
        <family val="2"/>
        <charset val="238"/>
      </rPr>
      <t xml:space="preserve">LEVÁ </t>
    </r>
    <r>
      <rPr>
        <sz val="9"/>
        <rFont val="Calibri"/>
        <family val="2"/>
        <charset val="238"/>
      </rPr>
      <t>(Dvořákovo nám.)</t>
    </r>
  </si>
  <si>
    <r>
      <t xml:space="preserve">větev SEVER / SEVER </t>
    </r>
    <r>
      <rPr>
        <b/>
        <sz val="9"/>
        <rFont val="Calibri"/>
        <family val="2"/>
        <charset val="238"/>
      </rPr>
      <t>PRAVÁ</t>
    </r>
  </si>
  <si>
    <r>
      <t xml:space="preserve"> - </t>
    </r>
    <r>
      <rPr>
        <b/>
        <sz val="10"/>
        <rFont val="Calibri"/>
        <family val="2"/>
        <charset val="238"/>
      </rPr>
      <t>Dvořákovo náměstí</t>
    </r>
    <r>
      <rPr>
        <b/>
        <sz val="9"/>
        <rFont val="Calibri"/>
        <family val="2"/>
        <charset val="238"/>
      </rPr>
      <t xml:space="preserve"> - v.č. 1.4.1.9</t>
    </r>
  </si>
  <si>
    <r>
      <t>1.PP/ PP01  - SEVER PRAVÁ</t>
    </r>
    <r>
      <rPr>
        <sz val="9"/>
        <rFont val="Calibri"/>
        <family val="2"/>
        <charset val="238"/>
      </rPr>
      <t xml:space="preserve"> (Dvořákovo nám.)</t>
    </r>
  </si>
  <si>
    <r>
      <t>1.NP/ NP00   - SEVER</t>
    </r>
    <r>
      <rPr>
        <b/>
        <sz val="9"/>
        <rFont val="Calibri"/>
        <family val="2"/>
        <charset val="238"/>
      </rPr>
      <t xml:space="preserve"> PRAVÁ</t>
    </r>
    <r>
      <rPr>
        <b/>
        <sz val="10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(Dvořákovo nám.)</t>
    </r>
  </si>
  <si>
    <r>
      <t xml:space="preserve">2.NP/ NP01  - SEVER </t>
    </r>
    <r>
      <rPr>
        <b/>
        <sz val="9"/>
        <rFont val="Calibri"/>
        <family val="2"/>
        <charset val="238"/>
      </rPr>
      <t xml:space="preserve">PRAVÁ </t>
    </r>
    <r>
      <rPr>
        <sz val="9"/>
        <rFont val="Calibri"/>
        <family val="2"/>
        <charset val="238"/>
      </rPr>
      <t>(Dvořákovo nám.)</t>
    </r>
  </si>
  <si>
    <r>
      <t xml:space="preserve">3.NP/ NP02  - SEVER </t>
    </r>
    <r>
      <rPr>
        <b/>
        <sz val="9"/>
        <rFont val="Calibri"/>
        <family val="2"/>
        <charset val="238"/>
      </rPr>
      <t>PRAVÁ</t>
    </r>
    <r>
      <rPr>
        <b/>
        <sz val="10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(Dvořákovo nám.)</t>
    </r>
  </si>
  <si>
    <r>
      <t xml:space="preserve">4.NP/ NP03  - SEVER </t>
    </r>
    <r>
      <rPr>
        <b/>
        <sz val="9"/>
        <rFont val="Calibri"/>
        <family val="2"/>
        <charset val="238"/>
      </rPr>
      <t>PRAVÁ</t>
    </r>
    <r>
      <rPr>
        <b/>
        <sz val="10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(Dvořákovo nám.)</t>
    </r>
  </si>
  <si>
    <r>
      <t xml:space="preserve">větev JIH </t>
    </r>
    <r>
      <rPr>
        <b/>
        <sz val="9"/>
        <rFont val="Calibri"/>
        <family val="2"/>
        <charset val="238"/>
      </rPr>
      <t>LEVÁ</t>
    </r>
  </si>
  <si>
    <r>
      <rPr>
        <b/>
        <sz val="10"/>
        <rFont val="Calibri"/>
        <family val="2"/>
        <charset val="238"/>
      </rPr>
      <t xml:space="preserve"> - 17. listopadu-</t>
    </r>
    <r>
      <rPr>
        <b/>
        <sz val="9"/>
        <rFont val="Calibri"/>
        <family val="2"/>
        <charset val="238"/>
      </rPr>
      <t xml:space="preserve"> v.č. 1.4.1.10 / </t>
    </r>
    <r>
      <rPr>
        <sz val="9"/>
        <rFont val="Calibri"/>
        <family val="2"/>
        <charset val="238"/>
      </rPr>
      <t>mezisoučet</t>
    </r>
  </si>
  <si>
    <r>
      <t xml:space="preserve">1.PP/ PP01  -  JIH </t>
    </r>
    <r>
      <rPr>
        <b/>
        <sz val="9"/>
        <rFont val="Calibri"/>
        <family val="2"/>
        <charset val="238"/>
      </rPr>
      <t>LEVÁ</t>
    </r>
  </si>
  <si>
    <r>
      <t xml:space="preserve">1.NP/ NP00  -  JIH LEVÁ </t>
    </r>
    <r>
      <rPr>
        <sz val="9"/>
        <rFont val="Calibri"/>
        <family val="2"/>
        <charset val="238"/>
      </rPr>
      <t>(17. listopadu)</t>
    </r>
  </si>
  <si>
    <r>
      <t xml:space="preserve">2.NP/ NP01  -  JIH </t>
    </r>
    <r>
      <rPr>
        <b/>
        <sz val="9"/>
        <rFont val="Calibri"/>
        <family val="2"/>
        <charset val="238"/>
      </rPr>
      <t xml:space="preserve">LEVÁ </t>
    </r>
    <r>
      <rPr>
        <sz val="9"/>
        <rFont val="Calibri"/>
        <family val="2"/>
        <charset val="238"/>
      </rPr>
      <t>(17. listopadu)</t>
    </r>
  </si>
  <si>
    <r>
      <t xml:space="preserve">3.NP/ NP02  -  JIH </t>
    </r>
    <r>
      <rPr>
        <b/>
        <sz val="9"/>
        <rFont val="Calibri"/>
        <family val="2"/>
        <charset val="238"/>
      </rPr>
      <t>LEVÁ</t>
    </r>
    <r>
      <rPr>
        <b/>
        <sz val="10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(17. listopadu)</t>
    </r>
  </si>
  <si>
    <r>
      <t xml:space="preserve">4.NP/ NP03  -  JIH </t>
    </r>
    <r>
      <rPr>
        <b/>
        <sz val="9"/>
        <rFont val="Calibri"/>
        <family val="2"/>
        <charset val="238"/>
      </rPr>
      <t>LEVÁ</t>
    </r>
    <r>
      <rPr>
        <b/>
        <sz val="10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(17. listopadu)</t>
    </r>
  </si>
  <si>
    <r>
      <t xml:space="preserve">větev JIH </t>
    </r>
    <r>
      <rPr>
        <b/>
        <sz val="9"/>
        <rFont val="Calibri"/>
        <family val="2"/>
        <charset val="238"/>
      </rPr>
      <t>PRAVÁ</t>
    </r>
  </si>
  <si>
    <r>
      <t xml:space="preserve"> - </t>
    </r>
    <r>
      <rPr>
        <b/>
        <sz val="10"/>
        <rFont val="Calibri"/>
        <family val="2"/>
        <charset val="238"/>
      </rPr>
      <t>17. listopadu</t>
    </r>
    <r>
      <rPr>
        <b/>
        <sz val="9"/>
        <rFont val="Calibri"/>
        <family val="2"/>
        <charset val="238"/>
      </rPr>
      <t>- v.č. 1.4.1.10</t>
    </r>
  </si>
  <si>
    <r>
      <t xml:space="preserve">1.PP/ PP01  -  JIH </t>
    </r>
    <r>
      <rPr>
        <b/>
        <sz val="9"/>
        <rFont val="Calibri"/>
        <family val="2"/>
        <charset val="238"/>
      </rPr>
      <t>PRAVÁ</t>
    </r>
    <r>
      <rPr>
        <b/>
        <sz val="10"/>
        <rFont val="Calibri"/>
        <family val="2"/>
        <charset val="238"/>
      </rPr>
      <t xml:space="preserve"> - (nepokračuje)</t>
    </r>
  </si>
  <si>
    <r>
      <t xml:space="preserve">1.NP/ NP00  -  JIH </t>
    </r>
    <r>
      <rPr>
        <b/>
        <sz val="9"/>
        <rFont val="Calibri"/>
        <family val="2"/>
        <charset val="238"/>
      </rPr>
      <t>PRAVÁ</t>
    </r>
    <r>
      <rPr>
        <b/>
        <sz val="10"/>
        <rFont val="Calibri"/>
        <family val="2"/>
        <charset val="238"/>
      </rPr>
      <t xml:space="preserve"> -</t>
    </r>
    <r>
      <rPr>
        <sz val="9"/>
        <rFont val="Calibri"/>
        <family val="2"/>
        <charset val="238"/>
      </rPr>
      <t xml:space="preserve"> (17. listopadu)</t>
    </r>
  </si>
  <si>
    <r>
      <t xml:space="preserve">2.NP/ NP01  -  JIH </t>
    </r>
    <r>
      <rPr>
        <b/>
        <sz val="9"/>
        <rFont val="Calibri"/>
        <family val="2"/>
        <charset val="238"/>
      </rPr>
      <t>PRAVÁ</t>
    </r>
    <r>
      <rPr>
        <b/>
        <sz val="10"/>
        <rFont val="Calibri"/>
        <family val="2"/>
        <charset val="238"/>
      </rPr>
      <t xml:space="preserve"> -</t>
    </r>
    <r>
      <rPr>
        <sz val="9"/>
        <rFont val="Calibri"/>
        <family val="2"/>
        <charset val="238"/>
      </rPr>
      <t xml:space="preserve"> (17. listopadu)</t>
    </r>
  </si>
  <si>
    <r>
      <t xml:space="preserve">3.NP/ NP02  -  JIH </t>
    </r>
    <r>
      <rPr>
        <b/>
        <sz val="9"/>
        <rFont val="Calibri"/>
        <family val="2"/>
        <charset val="238"/>
      </rPr>
      <t>PRAVÁ</t>
    </r>
    <r>
      <rPr>
        <b/>
        <sz val="10"/>
        <rFont val="Calibri"/>
        <family val="2"/>
        <charset val="238"/>
      </rPr>
      <t xml:space="preserve"> -</t>
    </r>
    <r>
      <rPr>
        <sz val="9"/>
        <rFont val="Calibri"/>
        <family val="2"/>
        <charset val="238"/>
      </rPr>
      <t xml:space="preserve"> (17. listopadu)</t>
    </r>
  </si>
  <si>
    <r>
      <t xml:space="preserve">4.NP/ NP03  -  JIH </t>
    </r>
    <r>
      <rPr>
        <b/>
        <sz val="9"/>
        <rFont val="Calibri"/>
        <family val="2"/>
        <charset val="238"/>
      </rPr>
      <t>PRAVÁ</t>
    </r>
    <r>
      <rPr>
        <b/>
        <sz val="10"/>
        <rFont val="Calibri"/>
        <family val="2"/>
        <charset val="238"/>
      </rPr>
      <t xml:space="preserve"> -</t>
    </r>
    <r>
      <rPr>
        <sz val="9"/>
        <rFont val="Calibri"/>
        <family val="2"/>
        <charset val="238"/>
      </rPr>
      <t xml:space="preserve"> (17. listopadu)</t>
    </r>
  </si>
  <si>
    <r>
      <t xml:space="preserve"> -  východ 1 v.č. 1.4.1.11 / </t>
    </r>
    <r>
      <rPr>
        <sz val="9"/>
        <rFont val="Calibri"/>
        <family val="2"/>
        <charset val="238"/>
      </rPr>
      <t>mezisoučet</t>
    </r>
  </si>
  <si>
    <r>
      <t xml:space="preserve">1.PP/ PP01  -   větev VÝCHOD 1 - </t>
    </r>
    <r>
      <rPr>
        <sz val="9"/>
        <rFont val="Calibri"/>
        <family val="2"/>
        <charset val="238"/>
      </rPr>
      <t>(\východ 1)</t>
    </r>
  </si>
  <si>
    <r>
      <t>1.NP/ NP00  - větev VÝCHOD 1 -</t>
    </r>
    <r>
      <rPr>
        <sz val="9"/>
        <rFont val="Calibri"/>
        <family val="2"/>
        <charset val="238"/>
      </rPr>
      <t xml:space="preserve"> (\východ 1)</t>
    </r>
  </si>
  <si>
    <r>
      <t>2.NP/ NP01  - větev VÝCHOD 1 -</t>
    </r>
    <r>
      <rPr>
        <sz val="9"/>
        <rFont val="Calibri"/>
        <family val="2"/>
        <charset val="238"/>
      </rPr>
      <t xml:space="preserve"> (\východ 1)</t>
    </r>
  </si>
  <si>
    <r>
      <t>3.NP/ NP02  - větev VÝCHOD 1 -</t>
    </r>
    <r>
      <rPr>
        <sz val="9"/>
        <rFont val="Calibri"/>
        <family val="2"/>
        <charset val="238"/>
      </rPr>
      <t xml:space="preserve"> (\východ 1)</t>
    </r>
  </si>
  <si>
    <r>
      <t>4.NP/ NP03  - větev VÝCHOD 1 -</t>
    </r>
    <r>
      <rPr>
        <sz val="9"/>
        <rFont val="Calibri"/>
        <family val="2"/>
        <charset val="238"/>
      </rPr>
      <t xml:space="preserve"> (\východ 1)</t>
    </r>
  </si>
  <si>
    <r>
      <t xml:space="preserve"> -  východ 2 v.č. 1.4.1.12</t>
    </r>
    <r>
      <rPr>
        <sz val="9"/>
        <rFont val="Calibri"/>
        <family val="2"/>
        <charset val="238"/>
      </rPr>
      <t xml:space="preserve"> / mezisoučet</t>
    </r>
  </si>
  <si>
    <r>
      <t>1.PP/ PP01  -   větev VÝCHOD 2 -</t>
    </r>
    <r>
      <rPr>
        <sz val="10"/>
        <rFont val="Calibri"/>
        <family val="2"/>
        <charset val="238"/>
      </rPr>
      <t xml:space="preserve"> (\východ 2)</t>
    </r>
  </si>
  <si>
    <r>
      <t>1.NP/ NP00  -  větev VÝCHOD 2 -</t>
    </r>
    <r>
      <rPr>
        <sz val="10"/>
        <rFont val="Calibri"/>
        <family val="2"/>
        <charset val="238"/>
      </rPr>
      <t xml:space="preserve"> (\východ 2)</t>
    </r>
  </si>
  <si>
    <r>
      <t>2.NP/ NP01  -  větev VÝCHOD 2 -</t>
    </r>
    <r>
      <rPr>
        <sz val="10"/>
        <rFont val="Calibri"/>
        <family val="2"/>
        <charset val="238"/>
      </rPr>
      <t xml:space="preserve"> (\východ 2)</t>
    </r>
  </si>
  <si>
    <r>
      <t>3.NP/ NP02  -  větev VÝCHOD 2 -</t>
    </r>
    <r>
      <rPr>
        <sz val="10"/>
        <rFont val="Calibri"/>
        <family val="2"/>
        <charset val="238"/>
      </rPr>
      <t xml:space="preserve"> (\východ 2)</t>
    </r>
  </si>
  <si>
    <r>
      <t>4.NP/ NP03  -  větev VÝCHOD 2 -</t>
    </r>
    <r>
      <rPr>
        <sz val="10"/>
        <rFont val="Calibri"/>
        <family val="2"/>
        <charset val="238"/>
      </rPr>
      <t xml:space="preserve"> (\východ 2)</t>
    </r>
  </si>
  <si>
    <r>
      <t xml:space="preserve"> -  západ 1 v.č. 1.4.1.13 / </t>
    </r>
    <r>
      <rPr>
        <sz val="9"/>
        <rFont val="Calibri"/>
        <family val="2"/>
        <charset val="238"/>
      </rPr>
      <t>mezisoučet</t>
    </r>
  </si>
  <si>
    <r>
      <t>2.PP/ PP02  -   větev ZÁPAD 1 -</t>
    </r>
    <r>
      <rPr>
        <sz val="10"/>
        <rFont val="Calibri"/>
        <family val="2"/>
        <charset val="238"/>
      </rPr>
      <t xml:space="preserve"> (západ 1)</t>
    </r>
  </si>
  <si>
    <r>
      <t>1.PP/ PP01  -   větev ZÁPAD 1 -</t>
    </r>
    <r>
      <rPr>
        <sz val="10"/>
        <rFont val="Calibri"/>
        <family val="2"/>
        <charset val="238"/>
      </rPr>
      <t xml:space="preserve"> (západ 1)</t>
    </r>
  </si>
  <si>
    <r>
      <t>1.NP/ NP00  -   větev ZÁPAD 1 -</t>
    </r>
    <r>
      <rPr>
        <sz val="10"/>
        <rFont val="Calibri"/>
        <family val="2"/>
        <charset val="238"/>
      </rPr>
      <t xml:space="preserve"> (západ 1)</t>
    </r>
  </si>
  <si>
    <r>
      <t>2.NP/ NP01  -   větev ZÁPAD 1 -</t>
    </r>
    <r>
      <rPr>
        <sz val="10"/>
        <rFont val="Calibri"/>
        <family val="2"/>
        <charset val="238"/>
      </rPr>
      <t xml:space="preserve"> (západ 1)</t>
    </r>
  </si>
  <si>
    <r>
      <t>3.NP/ NP02  -   větev ZÁPAD 1 -</t>
    </r>
    <r>
      <rPr>
        <sz val="10"/>
        <rFont val="Calibri"/>
        <family val="2"/>
        <charset val="238"/>
      </rPr>
      <t xml:space="preserve"> (západ 1)</t>
    </r>
  </si>
  <si>
    <r>
      <t>4.NP/ NP03  -   větev ZÁPAD 1 -</t>
    </r>
    <r>
      <rPr>
        <sz val="10"/>
        <rFont val="Calibri"/>
        <family val="2"/>
        <charset val="238"/>
      </rPr>
      <t xml:space="preserve"> (západ 1)</t>
    </r>
  </si>
  <si>
    <r>
      <t xml:space="preserve"> -  západ 2 v.č. 1.4.1.14 / </t>
    </r>
    <r>
      <rPr>
        <sz val="9"/>
        <rFont val="Calibri"/>
        <family val="2"/>
        <charset val="238"/>
      </rPr>
      <t>mezisoučet</t>
    </r>
  </si>
  <si>
    <r>
      <t>2.PP/ PP02  -   větev ZÁPAD 2 -</t>
    </r>
    <r>
      <rPr>
        <sz val="10"/>
        <rFont val="Calibri"/>
        <family val="2"/>
        <charset val="238"/>
      </rPr>
      <t xml:space="preserve"> (západ 2)</t>
    </r>
  </si>
  <si>
    <r>
      <t>1.PP/ PP01  -   větev ZÁPAD 2 -</t>
    </r>
    <r>
      <rPr>
        <sz val="10"/>
        <rFont val="Calibri"/>
        <family val="2"/>
        <charset val="238"/>
      </rPr>
      <t xml:space="preserve"> (západ 2)</t>
    </r>
  </si>
  <si>
    <r>
      <t>1.NP/ NP00  -   větev ZÁPAD 2 -</t>
    </r>
    <r>
      <rPr>
        <sz val="10"/>
        <rFont val="Calibri"/>
        <family val="2"/>
        <charset val="238"/>
      </rPr>
      <t xml:space="preserve"> (západ 2)</t>
    </r>
  </si>
  <si>
    <r>
      <t xml:space="preserve"> občerstvení - těleso plechové /</t>
    </r>
    <r>
      <rPr>
        <b/>
        <sz val="10"/>
        <rFont val="Calibri"/>
        <family val="2"/>
        <charset val="238"/>
      </rPr>
      <t xml:space="preserve"> jen nová Termo.Hlavice</t>
    </r>
  </si>
  <si>
    <r>
      <t>2.NP/ NP01  -   větev ZÁPAD 2 -</t>
    </r>
    <r>
      <rPr>
        <sz val="10"/>
        <rFont val="Calibri"/>
        <family val="2"/>
        <charset val="238"/>
      </rPr>
      <t xml:space="preserve"> (západ 2)</t>
    </r>
  </si>
  <si>
    <r>
      <t>3.NP/ NP02  -   větev ZÁPAD 2 -</t>
    </r>
    <r>
      <rPr>
        <sz val="10"/>
        <rFont val="Calibri"/>
        <family val="2"/>
        <charset val="238"/>
      </rPr>
      <t xml:space="preserve"> (západ 2)</t>
    </r>
  </si>
  <si>
    <r>
      <t>4.NP/ NP03  -   větev ZÁPAD 2 -</t>
    </r>
    <r>
      <rPr>
        <sz val="10"/>
        <rFont val="Calibri"/>
        <family val="2"/>
        <charset val="238"/>
      </rPr>
      <t xml:space="preserve"> (západ 2)</t>
    </r>
  </si>
  <si>
    <r>
      <t xml:space="preserve"> -  východ dvůr 1  v.č. 1.4.1.15 </t>
    </r>
    <r>
      <rPr>
        <sz val="9"/>
        <rFont val="Calibri"/>
        <family val="2"/>
        <charset val="238"/>
      </rPr>
      <t>/ mezisoučet</t>
    </r>
  </si>
  <si>
    <r>
      <t xml:space="preserve"> -  BYTY  v.č. 1.4.1.16 / </t>
    </r>
    <r>
      <rPr>
        <sz val="9"/>
        <rFont val="Calibri"/>
        <family val="2"/>
        <charset val="238"/>
      </rPr>
      <t>mezisoučet</t>
    </r>
  </si>
  <si>
    <r>
      <t>1.PP/ PP01 - větev/BYTY- PRAVÁ část /</t>
    </r>
    <r>
      <rPr>
        <sz val="9"/>
        <rFont val="Calibri"/>
        <family val="2"/>
        <charset val="238"/>
      </rPr>
      <t>celkem</t>
    </r>
  </si>
  <si>
    <r>
      <t>Demontáž tělesa litinového  -</t>
    </r>
    <r>
      <rPr>
        <b/>
        <sz val="10"/>
        <rFont val="Calibri"/>
        <family val="2"/>
        <charset val="238"/>
      </rPr>
      <t xml:space="preserve"> větev Západ 2</t>
    </r>
    <r>
      <rPr>
        <sz val="10"/>
        <rFont val="Calibri"/>
        <family val="2"/>
        <charset val="238"/>
      </rPr>
      <t xml:space="preserve">  - </t>
    </r>
    <r>
      <rPr>
        <b/>
        <sz val="10"/>
        <rFont val="Calibri"/>
        <family val="2"/>
        <charset val="238"/>
      </rPr>
      <t xml:space="preserve">v.č.  D.1.4.1.14 </t>
    </r>
    <r>
      <rPr>
        <sz val="10"/>
        <rFont val="Calibri"/>
        <family val="2"/>
        <charset val="238"/>
      </rPr>
      <t xml:space="preserve"> /  </t>
    </r>
    <r>
      <rPr>
        <b/>
        <sz val="10"/>
        <rFont val="Calibri"/>
        <family val="2"/>
        <charset val="238"/>
      </rPr>
      <t xml:space="preserve">m.č.  067 / 2.PP  </t>
    </r>
    <r>
      <rPr>
        <sz val="10"/>
        <rFont val="Calibri"/>
        <family val="2"/>
        <charset val="238"/>
      </rPr>
      <t xml:space="preserve">-  PP02 </t>
    </r>
    <r>
      <rPr>
        <b/>
        <sz val="10"/>
        <rFont val="Calibri"/>
        <family val="2"/>
        <charset val="238"/>
      </rPr>
      <t xml:space="preserve"> /     </t>
    </r>
    <r>
      <rPr>
        <sz val="10"/>
        <rFont val="Calibri"/>
        <family val="2"/>
        <charset val="238"/>
      </rPr>
      <t>10 - 500/160/ks 1/ (0,255m2/čl.)</t>
    </r>
  </si>
  <si>
    <r>
      <t xml:space="preserve">
</t>
    </r>
    <r>
      <rPr>
        <sz val="9"/>
        <rFont val="Calibri"/>
        <family val="2"/>
        <charset val="238"/>
      </rPr>
      <t>Regulační vyvažovací ventily s vypouštěním (DN 10 až DN32) dle půdorysů a schémat</t>
    </r>
  </si>
  <si>
    <r>
      <t xml:space="preserve">
</t>
    </r>
    <r>
      <rPr>
        <b/>
        <sz val="9"/>
        <rFont val="Calibri"/>
        <family val="2"/>
        <charset val="238"/>
      </rPr>
      <t>Radiátorový termostatický samoregulační ventil s AFC technologií přímé, nebo rohové (DN 10 až DN32) dle půdorysů a schémat</t>
    </r>
  </si>
  <si>
    <r>
      <rPr>
        <sz val="9"/>
        <rFont val="Calibri"/>
        <family val="2"/>
        <charset val="238"/>
      </rPr>
      <t xml:space="preserve">Poznámka :
</t>
    </r>
    <r>
      <rPr>
        <b/>
        <sz val="9"/>
        <rFont val="Calibri"/>
        <family val="2"/>
        <charset val="238"/>
      </rPr>
      <t>Šroubení uzavírací  přímé nebo rohové (DN 10 až DN20) dle půdorysů a schémat</t>
    </r>
  </si>
  <si>
    <t>SOUPIS STAVEBNÍCH PRACÍ a DODÁVEK</t>
  </si>
  <si>
    <t>R O Z P O Č E T - n á v r h</t>
  </si>
  <si>
    <r>
      <t>Vyčištění otopných těles </t>
    </r>
    <r>
      <rPr>
        <sz val="10"/>
        <rFont val="Calibri"/>
        <family val="2"/>
        <charset val="238"/>
      </rPr>
      <t xml:space="preserve">litinových </t>
    </r>
    <r>
      <rPr>
        <b/>
        <sz val="10"/>
        <rFont val="Calibri"/>
        <family val="2"/>
        <charset val="238"/>
      </rPr>
      <t>proplachem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 xml:space="preserve">vodou </t>
    </r>
    <r>
      <rPr>
        <sz val="10"/>
        <rFont val="Calibri"/>
        <family val="2"/>
        <charset val="238"/>
      </rPr>
      <t xml:space="preserve">na místě osazení, včetně proplachového zařízení, ochranné konstrukce pod tělesa proti vytopení včetně přemisťování,  zkouška těsnosti těles tlakem, odvoz a likvidace proplachu včetně usazenin  </t>
    </r>
  </si>
  <si>
    <t>2)Jednotkové ceny nabídky zahrnují veškeré náklady pro zhotovení bezvadného funkčně způsobilého díla, které je předmětem smlouvy a bude schopno plnit řádně svojí funkci po dobu min. 10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</si>
</sst>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\ &quot;Kč&quot;"/>
    <numFmt numFmtId="166" formatCode="#,##0.0"/>
    <numFmt numFmtId="167" formatCode="#,##0.000"/>
    <numFmt numFmtId="168" formatCode="#,##0&quot; Kč&quot;;[Red]\-#,##0&quot; Kč&quot;"/>
    <numFmt numFmtId="169" formatCode="#,##0.00&quot; Kč&quot;;[Red]\-#,##0.00&quot; Kč&quot;"/>
    <numFmt numFmtId="170" formatCode="_ * #,##0_ ;_ * \-#,##0_ ;_ * \-_ ;_ @_ "/>
    <numFmt numFmtId="171" formatCode="_ * #,##0.00_ ;_ * \-#,##0.00_ ;_ * \-??_ ;_ @_ "/>
    <numFmt numFmtId="172" formatCode="_-* #,##0_-;\-* #,##0_-;_-* \-_-;_-@_-"/>
    <numFmt numFmtId="173" formatCode="_-* #,##0.00_-;\-* #,##0.00_-;_-* \-??_-;_-@_-"/>
    <numFmt numFmtId="174" formatCode="_ &quot;Fr. &quot;* #,##0_ ;_ &quot;Fr. &quot;* \-#,##0_ ;_ &quot;Fr. &quot;* \-_ ;_ @_ "/>
    <numFmt numFmtId="175" formatCode="_ &quot;Fr. &quot;* #,##0.00_ ;_ &quot;Fr. &quot;* \-#,##0.00_ ;_ &quot;Fr. &quot;* \-??_ ;_ @_ "/>
    <numFmt numFmtId="176" formatCode="_-\Ł* #,##0_-;&quot;-Ł&quot;* #,##0_-;_-\Ł* \-_-;_-@_-"/>
    <numFmt numFmtId="177" formatCode="_-\Ł* #,##0.00_-;&quot;-Ł&quot;* #,##0.00_-;_-\Ł* \-??_-;_-@_-"/>
    <numFmt numFmtId="178" formatCode="0.0000"/>
    <numFmt numFmtId="179" formatCode="0.000"/>
    <numFmt numFmtId="180" formatCode="#,##0.00\ _K_č"/>
    <numFmt numFmtId="181" formatCode="#,##0.0\ _K_č"/>
  </numFmts>
  <fonts count="7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10"/>
      <name val="Arial CE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"/>
      <family val="2"/>
    </font>
    <font>
      <b/>
      <sz val="9"/>
      <name val="Arial CE"/>
      <family val="2"/>
      <charset val="238"/>
    </font>
    <font>
      <b/>
      <sz val="20"/>
      <name val="Arial"/>
      <family val="2"/>
    </font>
    <font>
      <b/>
      <sz val="16"/>
      <name val="Arial CE"/>
      <family val="2"/>
      <charset val="238"/>
    </font>
    <font>
      <b/>
      <sz val="13"/>
      <name val="Arial CE"/>
      <family val="2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Helv"/>
      <charset val="238"/>
    </font>
    <font>
      <sz val="8"/>
      <name val="MS Sans Serif"/>
      <family val="2"/>
      <charset val="1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sz val="10"/>
      <color indexed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Tahoma"/>
      <family val="2"/>
      <charset val="238"/>
    </font>
    <font>
      <b/>
      <sz val="14"/>
      <name val="Arial CE"/>
      <family val="2"/>
      <charset val="238"/>
    </font>
    <font>
      <sz val="11"/>
      <color indexed="8"/>
      <name val="Calibri"/>
      <family val="2"/>
    </font>
    <font>
      <b/>
      <sz val="9"/>
      <name val="Segoe UI"/>
      <family val="2"/>
      <charset val="238"/>
    </font>
    <font>
      <sz val="8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b/>
      <sz val="9"/>
      <name val="Calibri"/>
      <family val="2"/>
      <charset val="238"/>
    </font>
    <font>
      <sz val="7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8"/>
      <name val="Calibri"/>
      <family val="2"/>
      <charset val="238"/>
    </font>
    <font>
      <sz val="6"/>
      <name val="Calibri"/>
      <family val="2"/>
      <charset val="238"/>
    </font>
    <font>
      <b/>
      <sz val="7"/>
      <name val="Calibri"/>
      <family val="2"/>
      <charset val="238"/>
    </font>
    <font>
      <b/>
      <sz val="5"/>
      <name val="Calibri"/>
      <family val="2"/>
      <charset val="238"/>
    </font>
    <font>
      <b/>
      <sz val="9"/>
      <color rgb="FFFFC000"/>
      <name val="Calibri"/>
      <family val="2"/>
      <charset val="238"/>
    </font>
    <font>
      <sz val="9"/>
      <color rgb="FFFFC000"/>
      <name val="Calibri"/>
      <family val="2"/>
      <charset val="238"/>
    </font>
    <font>
      <b/>
      <sz val="9"/>
      <color rgb="FF00B050"/>
      <name val="Calibri"/>
      <family val="2"/>
      <charset val="238"/>
    </font>
    <font>
      <sz val="9"/>
      <color rgb="FF00B050"/>
      <name val="Calibri"/>
      <family val="2"/>
      <charset val="238"/>
    </font>
    <font>
      <b/>
      <sz val="6"/>
      <name val="Calibri"/>
      <family val="2"/>
      <charset val="238"/>
    </font>
    <font>
      <b/>
      <sz val="9"/>
      <color rgb="FFFF0000"/>
      <name val="Calibri"/>
      <family val="2"/>
      <charset val="238"/>
    </font>
    <font>
      <i/>
      <sz val="9"/>
      <name val="Calibri"/>
      <family val="2"/>
      <charset val="238"/>
    </font>
    <font>
      <i/>
      <sz val="8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1"/>
        <bgColor indexed="4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52">
    <xf numFmtId="0" fontId="0" fillId="0" borderId="0"/>
    <xf numFmtId="0" fontId="9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11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11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8" fillId="2" borderId="0" applyProtection="0"/>
    <xf numFmtId="0" fontId="8" fillId="3" borderId="0" applyProtection="0"/>
    <xf numFmtId="0" fontId="8" fillId="3" borderId="0" applyProtection="0"/>
    <xf numFmtId="0" fontId="8" fillId="3" borderId="0" applyProtection="0"/>
    <xf numFmtId="168" fontId="11" fillId="0" borderId="0" applyFill="0" applyBorder="0" applyAlignment="0" applyProtection="0"/>
    <xf numFmtId="6" fontId="42" fillId="0" borderId="0" applyFont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6" fontId="42" fillId="0" borderId="0" applyFont="0" applyFill="0" applyBorder="0" applyAlignment="0" applyProtection="0"/>
    <xf numFmtId="6" fontId="42" fillId="0" borderId="0" applyFont="0" applyFill="0" applyBorder="0" applyAlignment="0" applyProtection="0"/>
    <xf numFmtId="168" fontId="11" fillId="0" borderId="0" applyFill="0" applyBorder="0" applyAlignment="0" applyProtection="0"/>
    <xf numFmtId="6" fontId="42" fillId="0" borderId="0" applyFont="0" applyFill="0" applyBorder="0" applyAlignment="0" applyProtection="0"/>
    <xf numFmtId="6" fontId="42" fillId="0" borderId="0" applyFont="0" applyFill="0" applyBorder="0" applyAlignment="0" applyProtection="0"/>
    <xf numFmtId="6" fontId="42" fillId="0" borderId="0" applyFont="0" applyFill="0" applyBorder="0" applyAlignment="0" applyProtection="0"/>
    <xf numFmtId="0" fontId="11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  <xf numFmtId="0" fontId="11" fillId="0" borderId="0"/>
    <xf numFmtId="0" fontId="40" fillId="0" borderId="0"/>
    <xf numFmtId="0" fontId="11" fillId="0" borderId="0"/>
    <xf numFmtId="0" fontId="11" fillId="0" borderId="0"/>
    <xf numFmtId="0" fontId="40" fillId="0" borderId="0"/>
    <xf numFmtId="0" fontId="11" fillId="0" borderId="0"/>
    <xf numFmtId="0" fontId="40" fillId="0" borderId="0"/>
    <xf numFmtId="0" fontId="11" fillId="0" borderId="0"/>
    <xf numFmtId="0" fontId="40" fillId="0" borderId="0"/>
    <xf numFmtId="0" fontId="11" fillId="0" borderId="0"/>
    <xf numFmtId="169" fontId="11" fillId="0" borderId="0" applyFill="0" applyBorder="0" applyAlignment="0" applyProtection="0"/>
    <xf numFmtId="8" fontId="42" fillId="0" borderId="0" applyFont="0" applyFill="0" applyBorder="0" applyAlignment="0" applyProtection="0"/>
    <xf numFmtId="169" fontId="11" fillId="0" borderId="0" applyFill="0" applyBorder="0" applyAlignment="0" applyProtection="0"/>
    <xf numFmtId="169" fontId="11" fillId="0" borderId="0" applyFill="0" applyBorder="0" applyAlignment="0" applyProtection="0"/>
    <xf numFmtId="169" fontId="11" fillId="0" borderId="0" applyFill="0" applyBorder="0" applyAlignment="0" applyProtection="0"/>
    <xf numFmtId="169" fontId="11" fillId="0" borderId="0" applyFill="0" applyBorder="0" applyAlignment="0" applyProtection="0"/>
    <xf numFmtId="8" fontId="42" fillId="0" borderId="0" applyFont="0" applyFill="0" applyBorder="0" applyAlignment="0" applyProtection="0"/>
    <xf numFmtId="8" fontId="42" fillId="0" borderId="0" applyFont="0" applyFill="0" applyBorder="0" applyAlignment="0" applyProtection="0"/>
    <xf numFmtId="169" fontId="11" fillId="0" borderId="0" applyFill="0" applyBorder="0" applyAlignment="0" applyProtection="0"/>
    <xf numFmtId="8" fontId="42" fillId="0" borderId="0" applyFont="0" applyFill="0" applyBorder="0" applyAlignment="0" applyProtection="0"/>
    <xf numFmtId="8" fontId="42" fillId="0" borderId="0" applyFont="0" applyFill="0" applyBorder="0" applyAlignment="0" applyProtection="0"/>
    <xf numFmtId="8" fontId="42" fillId="0" borderId="0" applyFont="0" applyFill="0" applyBorder="0" applyAlignment="0" applyProtection="0"/>
    <xf numFmtId="0" fontId="8" fillId="3" borderId="0" applyProtection="0"/>
    <xf numFmtId="0" fontId="8" fillId="3" borderId="0" applyProtection="0"/>
    <xf numFmtId="0" fontId="8" fillId="3" borderId="0" applyProtection="0"/>
    <xf numFmtId="0" fontId="9" fillId="0" borderId="0"/>
    <xf numFmtId="0" fontId="23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3" fillId="0" borderId="0" applyProtection="0"/>
    <xf numFmtId="0" fontId="22" fillId="0" borderId="0" applyProtection="0"/>
    <xf numFmtId="0" fontId="22" fillId="0" borderId="0" applyProtection="0"/>
    <xf numFmtId="0" fontId="22" fillId="0" borderId="0" applyProtection="0"/>
    <xf numFmtId="0" fontId="22" fillId="0" borderId="0" applyProtection="0"/>
    <xf numFmtId="0" fontId="22" fillId="0" borderId="0" applyProtection="0"/>
    <xf numFmtId="0" fontId="22" fillId="0" borderId="0" applyProtection="0"/>
    <xf numFmtId="49" fontId="3" fillId="0" borderId="1"/>
    <xf numFmtId="168" fontId="11" fillId="0" borderId="0" applyFill="0" applyBorder="0" applyAlignment="0" applyProtection="0"/>
    <xf numFmtId="49" fontId="22" fillId="0" borderId="2"/>
    <xf numFmtId="49" fontId="22" fillId="0" borderId="2"/>
    <xf numFmtId="49" fontId="22" fillId="0" borderId="2"/>
    <xf numFmtId="49" fontId="22" fillId="0" borderId="2"/>
    <xf numFmtId="49" fontId="22" fillId="0" borderId="2"/>
    <xf numFmtId="49" fontId="22" fillId="0" borderId="2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1" fontId="7" fillId="0" borderId="3" applyAlignment="0"/>
    <xf numFmtId="0" fontId="11" fillId="0" borderId="0" applyNumberFormat="0" applyFill="0" applyBorder="0" applyAlignment="0"/>
    <xf numFmtId="0" fontId="26" fillId="0" borderId="4" applyNumberFormat="0" applyFill="0" applyAlignment="0" applyProtection="0"/>
    <xf numFmtId="38" fontId="11" fillId="0" borderId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49" fontId="43" fillId="18" borderId="5">
      <alignment horizontal="center"/>
      <protection locked="0"/>
    </xf>
    <xf numFmtId="170" fontId="11" fillId="0" borderId="0" applyFill="0" applyBorder="0" applyAlignment="0" applyProtection="0"/>
    <xf numFmtId="171" fontId="11" fillId="0" borderId="0" applyFill="0" applyBorder="0" applyAlignment="0" applyProtection="0"/>
    <xf numFmtId="172" fontId="11" fillId="0" borderId="0" applyFill="0" applyBorder="0" applyAlignment="0" applyProtection="0"/>
    <xf numFmtId="173" fontId="11" fillId="0" borderId="0" applyFill="0" applyBorder="0" applyAlignment="0" applyProtection="0"/>
    <xf numFmtId="0" fontId="51" fillId="0" borderId="0"/>
    <xf numFmtId="0" fontId="12" fillId="0" borderId="0"/>
    <xf numFmtId="0" fontId="44" fillId="0" borderId="0"/>
    <xf numFmtId="0" fontId="45" fillId="18" borderId="5">
      <alignment horizontal="center"/>
      <protection locked="0"/>
    </xf>
    <xf numFmtId="0" fontId="27" fillId="19" borderId="6" applyNumberFormat="0" applyAlignment="0" applyProtection="0"/>
    <xf numFmtId="0" fontId="46" fillId="0" borderId="7" applyNumberFormat="0" applyFont="0" applyFill="0" applyAlignment="0" applyProtection="0">
      <alignment horizontal="left"/>
    </xf>
    <xf numFmtId="44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0" fontId="43" fillId="18" borderId="8">
      <protection locked="0"/>
    </xf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47" fillId="20" borderId="12">
      <alignment horizontal="centerContinuous"/>
      <protection locked="0"/>
    </xf>
    <xf numFmtId="0" fontId="47" fillId="20" borderId="12">
      <alignment horizontal="center"/>
      <protection locked="0"/>
    </xf>
    <xf numFmtId="4" fontId="48" fillId="18" borderId="13"/>
    <xf numFmtId="0" fontId="31" fillId="0" borderId="0" applyNumberFormat="0" applyFill="0" applyBorder="0" applyAlignment="0" applyProtection="0"/>
    <xf numFmtId="0" fontId="32" fillId="21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2" fillId="0" borderId="0"/>
    <xf numFmtId="0" fontId="3" fillId="0" borderId="0"/>
    <xf numFmtId="0" fontId="40" fillId="0" borderId="0"/>
    <xf numFmtId="0" fontId="3" fillId="0" borderId="0"/>
    <xf numFmtId="0" fontId="40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1" fillId="0" borderId="0"/>
    <xf numFmtId="0" fontId="5" fillId="0" borderId="0"/>
    <xf numFmtId="0" fontId="11" fillId="0" borderId="0"/>
    <xf numFmtId="0" fontId="24" fillId="0" borderId="0" applyAlignment="0">
      <protection locked="0"/>
    </xf>
    <xf numFmtId="0" fontId="3" fillId="0" borderId="0"/>
    <xf numFmtId="0" fontId="49" fillId="0" borderId="0"/>
    <xf numFmtId="0" fontId="43" fillId="18" borderId="14">
      <protection locked="0"/>
    </xf>
    <xf numFmtId="0" fontId="11" fillId="22" borderId="15" applyNumberFormat="0" applyFont="0" applyAlignment="0" applyProtection="0"/>
    <xf numFmtId="0" fontId="33" fillId="0" borderId="16" applyNumberFormat="0" applyFill="0" applyAlignment="0" applyProtection="0"/>
    <xf numFmtId="1" fontId="3" fillId="0" borderId="0">
      <alignment horizontal="center" vertical="center"/>
      <protection locked="0"/>
    </xf>
    <xf numFmtId="0" fontId="34" fillId="6" borderId="0" applyNumberFormat="0" applyBorder="0" applyAlignment="0" applyProtection="0"/>
    <xf numFmtId="0" fontId="42" fillId="0" borderId="0"/>
    <xf numFmtId="0" fontId="10" fillId="23" borderId="0">
      <alignment horizontal="left"/>
    </xf>
    <xf numFmtId="0" fontId="50" fillId="23" borderId="0"/>
    <xf numFmtId="0" fontId="23" fillId="0" borderId="0"/>
    <xf numFmtId="4" fontId="47" fillId="20" borderId="17">
      <alignment horizontal="right" vertical="center"/>
    </xf>
    <xf numFmtId="0" fontId="35" fillId="0" borderId="0" applyNumberFormat="0" applyFill="0" applyBorder="0" applyAlignment="0" applyProtection="0"/>
    <xf numFmtId="0" fontId="10" fillId="0" borderId="0"/>
    <xf numFmtId="166" fontId="14" fillId="0" borderId="1">
      <alignment horizontal="right" vertical="center"/>
    </xf>
    <xf numFmtId="0" fontId="36" fillId="9" borderId="18" applyNumberFormat="0" applyAlignment="0" applyProtection="0"/>
    <xf numFmtId="0" fontId="37" fillId="24" borderId="18" applyNumberFormat="0" applyAlignment="0" applyProtection="0"/>
    <xf numFmtId="0" fontId="38" fillId="24" borderId="19" applyNumberFormat="0" applyAlignment="0" applyProtection="0"/>
    <xf numFmtId="0" fontId="39" fillId="0" borderId="0" applyNumberFormat="0" applyFill="0" applyBorder="0" applyAlignment="0" applyProtection="0"/>
    <xf numFmtId="174" fontId="11" fillId="0" borderId="0" applyFill="0" applyBorder="0" applyAlignment="0" applyProtection="0"/>
    <xf numFmtId="175" fontId="11" fillId="0" borderId="0" applyFill="0" applyBorder="0" applyAlignment="0" applyProtection="0"/>
    <xf numFmtId="176" fontId="11" fillId="0" borderId="0" applyFill="0" applyBorder="0" applyAlignment="0" applyProtection="0"/>
    <xf numFmtId="177" fontId="11" fillId="0" borderId="0" applyFill="0" applyBorder="0" applyAlignment="0" applyProtection="0"/>
    <xf numFmtId="0" fontId="3" fillId="0" borderId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28" borderId="0" applyNumberFormat="0" applyBorder="0" applyAlignment="0" applyProtection="0"/>
    <xf numFmtId="0" fontId="10" fillId="2" borderId="0" applyProtection="0"/>
    <xf numFmtId="44" fontId="57" fillId="0" borderId="0" applyFont="0" applyFill="0" applyBorder="0" applyAlignment="0" applyProtection="0"/>
  </cellStyleXfs>
  <cellXfs count="277">
    <xf numFmtId="0" fontId="0" fillId="0" borderId="0" xfId="0"/>
    <xf numFmtId="0" fontId="9" fillId="0" borderId="0" xfId="0" applyFont="1"/>
    <xf numFmtId="0" fontId="12" fillId="0" borderId="0" xfId="0" applyFont="1" applyAlignment="1">
      <alignment horizontal="center"/>
    </xf>
    <xf numFmtId="0" fontId="3" fillId="0" borderId="0" xfId="0" applyFont="1"/>
    <xf numFmtId="0" fontId="14" fillId="0" borderId="0" xfId="0" applyFont="1" applyAlignment="1">
      <alignment horizontal="left" vertical="top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center"/>
    </xf>
    <xf numFmtId="0" fontId="6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2" fillId="0" borderId="0" xfId="0" applyFont="1" applyAlignment="1">
      <alignment horizontal="center" wrapText="1"/>
    </xf>
    <xf numFmtId="44" fontId="55" fillId="0" borderId="0" xfId="251" applyFont="1" applyFill="1" applyAlignment="1">
      <alignment horizontal="left" vertical="top" wrapText="1"/>
    </xf>
    <xf numFmtId="180" fontId="59" fillId="0" borderId="0" xfId="154" applyNumberFormat="1" applyFont="1" applyFill="1" applyBorder="1" applyAlignment="1">
      <alignment horizontal="center" wrapText="1"/>
    </xf>
    <xf numFmtId="2" fontId="54" fillId="0" borderId="0" xfId="154" applyNumberFormat="1" applyFont="1" applyFill="1" applyBorder="1" applyAlignment="1">
      <alignment horizontal="center" wrapText="1"/>
    </xf>
    <xf numFmtId="179" fontId="54" fillId="0" borderId="0" xfId="154" applyNumberFormat="1" applyFont="1" applyFill="1" applyBorder="1" applyAlignment="1">
      <alignment horizontal="center" wrapText="1"/>
    </xf>
    <xf numFmtId="2" fontId="54" fillId="0" borderId="0" xfId="154" applyNumberFormat="1" applyFont="1" applyFill="1" applyAlignment="1">
      <alignment horizontal="center" wrapText="1"/>
    </xf>
    <xf numFmtId="2" fontId="59" fillId="0" borderId="0" xfId="154" applyNumberFormat="1" applyFont="1" applyFill="1" applyAlignment="1">
      <alignment horizontal="center" wrapText="1"/>
    </xf>
    <xf numFmtId="49" fontId="54" fillId="0" borderId="0" xfId="0" applyNumberFormat="1" applyFont="1" applyAlignment="1">
      <alignment horizontal="center" vertical="center" wrapText="1"/>
    </xf>
    <xf numFmtId="0" fontId="60" fillId="0" borderId="0" xfId="0" applyFont="1" applyAlignment="1">
      <alignment horizontal="left" vertical="top" wrapText="1"/>
    </xf>
    <xf numFmtId="49" fontId="60" fillId="0" borderId="0" xfId="0" applyNumberFormat="1" applyFont="1" applyAlignment="1">
      <alignment horizontal="left" vertical="top" wrapText="1"/>
    </xf>
    <xf numFmtId="0" fontId="59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2" fontId="54" fillId="0" borderId="0" xfId="0" applyNumberFormat="1" applyFont="1" applyAlignment="1">
      <alignment horizontal="right" wrapText="1"/>
    </xf>
    <xf numFmtId="2" fontId="54" fillId="0" borderId="0" xfId="0" applyNumberFormat="1" applyFont="1" applyAlignment="1">
      <alignment horizontal="center" wrapText="1"/>
    </xf>
    <xf numFmtId="180" fontId="54" fillId="0" borderId="0" xfId="0" applyNumberFormat="1" applyFont="1" applyAlignment="1">
      <alignment wrapText="1"/>
    </xf>
    <xf numFmtId="0" fontId="61" fillId="0" borderId="0" xfId="0" applyFont="1"/>
    <xf numFmtId="179" fontId="2" fillId="0" borderId="0" xfId="0" applyNumberFormat="1" applyFont="1" applyAlignment="1">
      <alignment wrapText="1"/>
    </xf>
    <xf numFmtId="0" fontId="54" fillId="0" borderId="0" xfId="0" applyFont="1" applyAlignment="1">
      <alignment wrapText="1"/>
    </xf>
    <xf numFmtId="165" fontId="54" fillId="0" borderId="0" xfId="0" applyNumberFormat="1" applyFont="1" applyAlignment="1">
      <alignment wrapText="1"/>
    </xf>
    <xf numFmtId="2" fontId="59" fillId="0" borderId="0" xfId="0" applyNumberFormat="1" applyFont="1" applyAlignment="1">
      <alignment horizontal="center" wrapText="1"/>
    </xf>
    <xf numFmtId="2" fontId="59" fillId="0" borderId="0" xfId="0" applyNumberFormat="1" applyFont="1" applyAlignment="1">
      <alignment wrapText="1"/>
    </xf>
    <xf numFmtId="180" fontId="59" fillId="0" borderId="0" xfId="0" applyNumberFormat="1" applyFont="1" applyAlignment="1">
      <alignment wrapText="1"/>
    </xf>
    <xf numFmtId="0" fontId="54" fillId="0" borderId="0" xfId="0" applyFont="1" applyAlignment="1">
      <alignment horizontal="center" wrapText="1"/>
    </xf>
    <xf numFmtId="180" fontId="59" fillId="0" borderId="0" xfId="0" applyNumberFormat="1" applyFont="1" applyAlignment="1">
      <alignment vertical="center" wrapText="1"/>
    </xf>
    <xf numFmtId="0" fontId="61" fillId="0" borderId="0" xfId="0" applyFont="1" applyAlignment="1">
      <alignment vertical="center"/>
    </xf>
    <xf numFmtId="0" fontId="54" fillId="0" borderId="0" xfId="0" applyFont="1" applyAlignment="1">
      <alignment horizontal="center" vertical="center" wrapText="1"/>
    </xf>
    <xf numFmtId="0" fontId="60" fillId="0" borderId="0" xfId="181" applyFont="1" applyAlignment="1">
      <alignment horizontal="left" vertical="top" wrapText="1"/>
    </xf>
    <xf numFmtId="49" fontId="60" fillId="0" borderId="0" xfId="181" applyNumberFormat="1" applyFont="1" applyAlignment="1">
      <alignment horizontal="left" vertical="top" wrapText="1"/>
    </xf>
    <xf numFmtId="0" fontId="59" fillId="0" borderId="0" xfId="181" applyFont="1" applyAlignment="1">
      <alignment horizontal="center" wrapText="1"/>
    </xf>
    <xf numFmtId="0" fontId="2" fillId="0" borderId="0" xfId="181" applyFont="1" applyAlignment="1">
      <alignment horizontal="center" wrapText="1"/>
    </xf>
    <xf numFmtId="2" fontId="54" fillId="0" borderId="0" xfId="181" applyNumberFormat="1" applyFont="1" applyAlignment="1">
      <alignment horizontal="right" wrapText="1"/>
    </xf>
    <xf numFmtId="2" fontId="54" fillId="0" borderId="0" xfId="181" applyNumberFormat="1" applyFont="1" applyAlignment="1">
      <alignment horizontal="center" wrapText="1"/>
    </xf>
    <xf numFmtId="180" fontId="54" fillId="0" borderId="0" xfId="181" applyNumberFormat="1" applyFont="1" applyAlignment="1">
      <alignment wrapText="1"/>
    </xf>
    <xf numFmtId="0" fontId="59" fillId="0" borderId="0" xfId="181" applyFont="1" applyAlignment="1">
      <alignment horizontal="left" wrapText="1"/>
    </xf>
    <xf numFmtId="179" fontId="59" fillId="0" borderId="0" xfId="0" applyNumberFormat="1" applyFont="1" applyAlignment="1">
      <alignment wrapText="1"/>
    </xf>
    <xf numFmtId="0" fontId="54" fillId="0" borderId="0" xfId="181" applyFont="1" applyAlignment="1">
      <alignment wrapText="1"/>
    </xf>
    <xf numFmtId="0" fontId="54" fillId="0" borderId="0" xfId="181" applyFont="1" applyAlignment="1">
      <alignment horizontal="left" wrapText="1"/>
    </xf>
    <xf numFmtId="0" fontId="54" fillId="0" borderId="0" xfId="0" applyFont="1"/>
    <xf numFmtId="2" fontId="54" fillId="0" borderId="0" xfId="0" applyNumberFormat="1" applyFont="1" applyAlignment="1">
      <alignment horizontal="right" vertical="center" wrapText="1"/>
    </xf>
    <xf numFmtId="2" fontId="54" fillId="0" borderId="0" xfId="0" applyNumberFormat="1" applyFont="1" applyAlignment="1">
      <alignment horizontal="center" vertical="center" wrapText="1"/>
    </xf>
    <xf numFmtId="49" fontId="54" fillId="0" borderId="0" xfId="0" applyNumberFormat="1" applyFont="1" applyAlignment="1">
      <alignment horizontal="center" vertical="center"/>
    </xf>
    <xf numFmtId="0" fontId="60" fillId="0" borderId="0" xfId="0" applyFont="1" applyAlignment="1">
      <alignment horizontal="left" vertical="top"/>
    </xf>
    <xf numFmtId="49" fontId="60" fillId="0" borderId="0" xfId="0" applyNumberFormat="1" applyFont="1" applyAlignment="1">
      <alignment horizontal="left" vertical="top"/>
    </xf>
    <xf numFmtId="0" fontId="59" fillId="0" borderId="0" xfId="0" applyFont="1" applyAlignment="1">
      <alignment horizontal="right" wrapText="1"/>
    </xf>
    <xf numFmtId="2" fontId="54" fillId="0" borderId="0" xfId="0" applyNumberFormat="1" applyFont="1" applyAlignment="1">
      <alignment horizontal="right"/>
    </xf>
    <xf numFmtId="2" fontId="54" fillId="0" borderId="0" xfId="0" applyNumberFormat="1" applyFont="1" applyAlignment="1">
      <alignment horizontal="center"/>
    </xf>
    <xf numFmtId="0" fontId="2" fillId="0" borderId="0" xfId="0" applyFont="1"/>
    <xf numFmtId="180" fontId="59" fillId="0" borderId="0" xfId="0" applyNumberFormat="1" applyFont="1"/>
    <xf numFmtId="0" fontId="59" fillId="0" borderId="0" xfId="0" applyFont="1" applyAlignment="1">
      <alignment wrapText="1"/>
    </xf>
    <xf numFmtId="0" fontId="54" fillId="0" borderId="0" xfId="0" applyFont="1" applyAlignment="1">
      <alignment horizontal="right" wrapText="1"/>
    </xf>
    <xf numFmtId="2" fontId="59" fillId="0" borderId="0" xfId="0" applyNumberFormat="1" applyFont="1" applyAlignment="1">
      <alignment horizontal="right"/>
    </xf>
    <xf numFmtId="2" fontId="59" fillId="0" borderId="0" xfId="0" applyNumberFormat="1" applyFont="1" applyAlignment="1">
      <alignment horizontal="center"/>
    </xf>
    <xf numFmtId="0" fontId="59" fillId="0" borderId="0" xfId="0" applyFont="1" applyAlignment="1">
      <alignment horizontal="right"/>
    </xf>
    <xf numFmtId="180" fontId="54" fillId="0" borderId="0" xfId="0" applyNumberFormat="1" applyFont="1"/>
    <xf numFmtId="49" fontId="2" fillId="0" borderId="2" xfId="0" applyNumberFormat="1" applyFont="1" applyBorder="1" applyAlignment="1">
      <alignment horizontal="center" vertical="center" wrapText="1"/>
    </xf>
    <xf numFmtId="0" fontId="60" fillId="0" borderId="2" xfId="0" applyFont="1" applyBorder="1" applyAlignment="1">
      <alignment horizontal="center" vertical="center" wrapText="1"/>
    </xf>
    <xf numFmtId="49" fontId="60" fillId="0" borderId="2" xfId="0" applyNumberFormat="1" applyFont="1" applyBorder="1" applyAlignment="1">
      <alignment horizontal="left" vertical="top" wrapText="1"/>
    </xf>
    <xf numFmtId="0" fontId="5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54" fillId="0" borderId="2" xfId="0" applyNumberFormat="1" applyFont="1" applyBorder="1" applyAlignment="1">
      <alignment horizontal="center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179" fontId="2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" fontId="60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center" vertical="center" wrapText="1"/>
    </xf>
    <xf numFmtId="4" fontId="54" fillId="0" borderId="0" xfId="0" applyNumberFormat="1" applyFont="1" applyAlignment="1">
      <alignment horizontal="center" vertical="center" wrapText="1"/>
    </xf>
    <xf numFmtId="0" fontId="54" fillId="0" borderId="0" xfId="217" applyFont="1" applyAlignment="1">
      <alignment horizontal="left" wrapText="1"/>
    </xf>
    <xf numFmtId="0" fontId="54" fillId="0" borderId="0" xfId="0" applyFont="1" applyAlignment="1">
      <alignment vertical="top" wrapText="1"/>
    </xf>
    <xf numFmtId="0" fontId="62" fillId="0" borderId="0" xfId="181" applyFont="1" applyAlignment="1">
      <alignment horizontal="center" wrapText="1"/>
    </xf>
    <xf numFmtId="2" fontId="59" fillId="0" borderId="0" xfId="181" applyNumberFormat="1" applyFont="1" applyAlignment="1">
      <alignment horizontal="right" wrapText="1"/>
    </xf>
    <xf numFmtId="180" fontId="59" fillId="0" borderId="0" xfId="181" applyNumberFormat="1" applyFont="1" applyAlignment="1">
      <alignment wrapText="1"/>
    </xf>
    <xf numFmtId="0" fontId="54" fillId="0" borderId="0" xfId="181" applyFont="1" applyAlignment="1">
      <alignment horizontal="left" vertical="top" wrapText="1"/>
    </xf>
    <xf numFmtId="0" fontId="56" fillId="0" borderId="0" xfId="181" applyFont="1" applyAlignment="1">
      <alignment horizontal="center" wrapText="1"/>
    </xf>
    <xf numFmtId="0" fontId="55" fillId="0" borderId="0" xfId="217" applyFont="1" applyAlignment="1">
      <alignment horizontal="left" wrapText="1"/>
    </xf>
    <xf numFmtId="179" fontId="62" fillId="0" borderId="0" xfId="0" applyNumberFormat="1" applyFont="1" applyAlignment="1">
      <alignment horizontal="center" wrapText="1"/>
    </xf>
    <xf numFmtId="0" fontId="55" fillId="0" borderId="0" xfId="181" applyFont="1" applyAlignment="1">
      <alignment horizontal="left" vertical="top" wrapText="1"/>
    </xf>
    <xf numFmtId="2" fontId="54" fillId="0" borderId="0" xfId="181" applyNumberFormat="1" applyFont="1" applyAlignment="1">
      <alignment horizontal="right"/>
    </xf>
    <xf numFmtId="0" fontId="55" fillId="0" borderId="0" xfId="0" applyFont="1" applyAlignment="1">
      <alignment vertical="center" wrapText="1"/>
    </xf>
    <xf numFmtId="2" fontId="59" fillId="0" borderId="0" xfId="181" applyNumberFormat="1" applyFont="1" applyAlignment="1">
      <alignment horizontal="center" wrapText="1"/>
    </xf>
    <xf numFmtId="2" fontId="54" fillId="0" borderId="0" xfId="181" applyNumberFormat="1" applyFont="1" applyAlignment="1">
      <alignment horizontal="center" vertical="center" wrapText="1"/>
    </xf>
    <xf numFmtId="2" fontId="54" fillId="0" borderId="0" xfId="181" applyNumberFormat="1" applyFont="1" applyAlignment="1">
      <alignment horizontal="right" vertical="center" wrapText="1"/>
    </xf>
    <xf numFmtId="2" fontId="54" fillId="0" borderId="0" xfId="181" applyNumberFormat="1" applyFont="1" applyAlignment="1">
      <alignment horizontal="right" vertical="top" wrapText="1"/>
    </xf>
    <xf numFmtId="2" fontId="54" fillId="0" borderId="0" xfId="181" applyNumberFormat="1" applyFont="1" applyAlignment="1">
      <alignment horizontal="center" vertical="top" wrapText="1"/>
    </xf>
    <xf numFmtId="0" fontId="2" fillId="0" borderId="0" xfId="181" applyFont="1" applyAlignment="1">
      <alignment horizontal="center" vertical="top" wrapText="1"/>
    </xf>
    <xf numFmtId="179" fontId="62" fillId="0" borderId="0" xfId="0" applyNumberFormat="1" applyFont="1" applyAlignment="1">
      <alignment horizontal="center" vertical="center" wrapText="1"/>
    </xf>
    <xf numFmtId="180" fontId="59" fillId="0" borderId="0" xfId="181" applyNumberFormat="1" applyFont="1" applyAlignment="1">
      <alignment vertical="top" wrapText="1"/>
    </xf>
    <xf numFmtId="0" fontId="2" fillId="0" borderId="0" xfId="181" applyFont="1" applyAlignment="1">
      <alignment horizontal="right" wrapText="1"/>
    </xf>
    <xf numFmtId="179" fontId="2" fillId="0" borderId="0" xfId="0" applyNumberFormat="1" applyFont="1" applyAlignment="1">
      <alignment horizontal="right" wrapText="1"/>
    </xf>
    <xf numFmtId="2" fontId="59" fillId="0" borderId="0" xfId="181" applyNumberFormat="1" applyFont="1" applyAlignment="1">
      <alignment horizontal="center" vertical="center" wrapText="1"/>
    </xf>
    <xf numFmtId="2" fontId="54" fillId="0" borderId="0" xfId="181" applyNumberFormat="1" applyFont="1" applyAlignment="1">
      <alignment wrapText="1"/>
    </xf>
    <xf numFmtId="0" fontId="56" fillId="0" borderId="0" xfId="181" applyFont="1" applyAlignment="1">
      <alignment horizontal="left" vertical="top" wrapText="1"/>
    </xf>
    <xf numFmtId="0" fontId="62" fillId="0" borderId="0" xfId="181" applyFont="1" applyAlignment="1">
      <alignment horizontal="right" wrapText="1"/>
    </xf>
    <xf numFmtId="0" fontId="56" fillId="0" borderId="0" xfId="181" applyFont="1" applyAlignment="1">
      <alignment horizontal="center" vertical="top" wrapText="1"/>
    </xf>
    <xf numFmtId="2" fontId="59" fillId="0" borderId="0" xfId="181" applyNumberFormat="1" applyFont="1" applyAlignment="1">
      <alignment horizontal="center" vertical="top" wrapText="1"/>
    </xf>
    <xf numFmtId="0" fontId="62" fillId="0" borderId="0" xfId="181" applyFont="1" applyAlignment="1">
      <alignment horizontal="center" vertical="top" wrapText="1"/>
    </xf>
    <xf numFmtId="180" fontId="54" fillId="0" borderId="0" xfId="181" applyNumberFormat="1" applyFont="1" applyAlignment="1">
      <alignment vertical="top" wrapText="1"/>
    </xf>
    <xf numFmtId="49" fontId="54" fillId="0" borderId="0" xfId="181" applyNumberFormat="1" applyFont="1" applyAlignment="1">
      <alignment horizontal="left" vertical="top" wrapText="1"/>
    </xf>
    <xf numFmtId="49" fontId="62" fillId="0" borderId="0" xfId="181" applyNumberFormat="1" applyFont="1" applyAlignment="1">
      <alignment horizontal="center" vertical="top" wrapText="1"/>
    </xf>
    <xf numFmtId="180" fontId="54" fillId="0" borderId="0" xfId="181" applyNumberFormat="1" applyFont="1" applyAlignment="1">
      <alignment horizontal="right" vertical="top" wrapText="1"/>
    </xf>
    <xf numFmtId="0" fontId="59" fillId="0" borderId="0" xfId="181" applyFont="1" applyAlignment="1">
      <alignment horizontal="left" vertical="top" wrapText="1"/>
    </xf>
    <xf numFmtId="0" fontId="55" fillId="0" borderId="0" xfId="181" applyFont="1" applyAlignment="1">
      <alignment horizontal="center" wrapText="1"/>
    </xf>
    <xf numFmtId="2" fontId="55" fillId="0" borderId="0" xfId="181" applyNumberFormat="1" applyFont="1" applyAlignment="1">
      <alignment horizontal="center" wrapText="1"/>
    </xf>
    <xf numFmtId="180" fontId="55" fillId="0" borderId="0" xfId="181" applyNumberFormat="1" applyFont="1" applyAlignment="1">
      <alignment wrapText="1"/>
    </xf>
    <xf numFmtId="0" fontId="55" fillId="0" borderId="0" xfId="0" applyFont="1" applyAlignment="1">
      <alignment wrapText="1"/>
    </xf>
    <xf numFmtId="165" fontId="55" fillId="0" borderId="0" xfId="0" applyNumberFormat="1" applyFont="1" applyAlignment="1">
      <alignment wrapText="1"/>
    </xf>
    <xf numFmtId="0" fontId="56" fillId="0" borderId="0" xfId="181" applyFont="1" applyAlignment="1">
      <alignment horizontal="center" vertical="center" wrapText="1"/>
    </xf>
    <xf numFmtId="181" fontId="59" fillId="0" borderId="0" xfId="181" applyNumberFormat="1" applyFont="1" applyAlignment="1">
      <alignment wrapText="1"/>
    </xf>
    <xf numFmtId="0" fontId="59" fillId="0" borderId="0" xfId="181" applyFont="1" applyAlignment="1">
      <alignment horizontal="left" vertical="center" wrapText="1"/>
    </xf>
    <xf numFmtId="2" fontId="59" fillId="0" borderId="0" xfId="181" applyNumberFormat="1" applyFont="1" applyAlignment="1">
      <alignment wrapText="1"/>
    </xf>
    <xf numFmtId="179" fontId="62" fillId="0" borderId="0" xfId="0" applyNumberFormat="1" applyFont="1" applyAlignment="1">
      <alignment wrapText="1"/>
    </xf>
    <xf numFmtId="0" fontId="55" fillId="0" borderId="0" xfId="181" applyFont="1" applyAlignment="1">
      <alignment horizontal="left" vertical="center" wrapText="1"/>
    </xf>
    <xf numFmtId="179" fontId="2" fillId="0" borderId="0" xfId="181" applyNumberFormat="1" applyFont="1" applyAlignment="1">
      <alignment wrapText="1"/>
    </xf>
    <xf numFmtId="0" fontId="55" fillId="0" borderId="0" xfId="181" applyFont="1" applyAlignment="1">
      <alignment horizontal="center" vertical="center" wrapText="1"/>
    </xf>
    <xf numFmtId="0" fontId="55" fillId="0" borderId="0" xfId="181" applyFont="1" applyAlignment="1">
      <alignment horizontal="left" wrapText="1"/>
    </xf>
    <xf numFmtId="178" fontId="54" fillId="0" borderId="0" xfId="181" applyNumberFormat="1" applyFont="1" applyAlignment="1">
      <alignment horizontal="right" wrapText="1"/>
    </xf>
    <xf numFmtId="0" fontId="54" fillId="0" borderId="0" xfId="181" applyFont="1" applyAlignment="1">
      <alignment horizontal="left" vertical="center" wrapText="1"/>
    </xf>
    <xf numFmtId="0" fontId="56" fillId="0" borderId="0" xfId="181" applyFont="1" applyAlignment="1">
      <alignment horizontal="left" vertical="center" wrapText="1"/>
    </xf>
    <xf numFmtId="178" fontId="59" fillId="0" borderId="0" xfId="181" applyNumberFormat="1" applyFont="1" applyAlignment="1">
      <alignment horizontal="right" wrapText="1"/>
    </xf>
    <xf numFmtId="0" fontId="59" fillId="0" borderId="0" xfId="181" applyFont="1" applyAlignment="1">
      <alignment horizontal="center" vertical="center" wrapText="1"/>
    </xf>
    <xf numFmtId="2" fontId="59" fillId="0" borderId="0" xfId="181" applyNumberFormat="1" applyFont="1" applyAlignment="1">
      <alignment horizontal="left" wrapText="1"/>
    </xf>
    <xf numFmtId="178" fontId="59" fillId="0" borderId="0" xfId="181" applyNumberFormat="1" applyFont="1" applyAlignment="1">
      <alignment horizontal="center" vertical="center" wrapText="1"/>
    </xf>
    <xf numFmtId="2" fontId="56" fillId="0" borderId="0" xfId="181" applyNumberFormat="1" applyFont="1" applyAlignment="1">
      <alignment horizontal="center" vertical="top" wrapText="1"/>
    </xf>
    <xf numFmtId="49" fontId="64" fillId="0" borderId="0" xfId="181" applyNumberFormat="1" applyFont="1" applyAlignment="1">
      <alignment horizontal="center" vertical="center" wrapText="1"/>
    </xf>
    <xf numFmtId="178" fontId="54" fillId="0" borderId="0" xfId="181" applyNumberFormat="1" applyFont="1" applyAlignment="1">
      <alignment horizontal="center" wrapText="1"/>
    </xf>
    <xf numFmtId="2" fontId="56" fillId="0" borderId="0" xfId="181" applyNumberFormat="1" applyFont="1" applyAlignment="1">
      <alignment horizontal="left" vertical="top" wrapText="1"/>
    </xf>
    <xf numFmtId="180" fontId="56" fillId="0" borderId="0" xfId="181" applyNumberFormat="1" applyFont="1" applyAlignment="1">
      <alignment wrapText="1"/>
    </xf>
    <xf numFmtId="49" fontId="60" fillId="0" borderId="0" xfId="181" applyNumberFormat="1" applyFont="1" applyAlignment="1">
      <alignment horizontal="center" vertical="center" wrapText="1"/>
    </xf>
    <xf numFmtId="2" fontId="55" fillId="0" borderId="0" xfId="0" applyNumberFormat="1" applyFont="1" applyAlignment="1">
      <alignment wrapText="1"/>
    </xf>
    <xf numFmtId="49" fontId="60" fillId="0" borderId="0" xfId="181" applyNumberFormat="1" applyFont="1" applyAlignment="1">
      <alignment horizontal="center" vertical="top" wrapText="1"/>
    </xf>
    <xf numFmtId="49" fontId="64" fillId="0" borderId="0" xfId="181" applyNumberFormat="1" applyFont="1" applyAlignment="1">
      <alignment horizontal="center" wrapText="1"/>
    </xf>
    <xf numFmtId="2" fontId="56" fillId="0" borderId="0" xfId="181" applyNumberFormat="1" applyFont="1" applyAlignment="1">
      <alignment horizontal="left" wrapText="1"/>
    </xf>
    <xf numFmtId="2" fontId="56" fillId="0" borderId="0" xfId="181" applyNumberFormat="1" applyFont="1" applyAlignment="1">
      <alignment wrapText="1"/>
    </xf>
    <xf numFmtId="49" fontId="64" fillId="0" borderId="0" xfId="181" applyNumberFormat="1" applyFont="1" applyAlignment="1">
      <alignment horizontal="center" vertical="top" wrapText="1"/>
    </xf>
    <xf numFmtId="2" fontId="55" fillId="0" borderId="0" xfId="181" applyNumberFormat="1" applyFont="1" applyAlignment="1">
      <alignment horizontal="left" vertical="top" wrapText="1"/>
    </xf>
    <xf numFmtId="2" fontId="56" fillId="0" borderId="0" xfId="181" applyNumberFormat="1" applyFont="1" applyAlignment="1">
      <alignment horizontal="center" vertical="center" wrapText="1"/>
    </xf>
    <xf numFmtId="0" fontId="60" fillId="0" borderId="0" xfId="181" applyFont="1" applyAlignment="1">
      <alignment horizontal="center" vertical="center" wrapText="1"/>
    </xf>
    <xf numFmtId="0" fontId="54" fillId="0" borderId="0" xfId="181" applyFont="1" applyAlignment="1">
      <alignment horizontal="center" wrapText="1"/>
    </xf>
    <xf numFmtId="179" fontId="60" fillId="0" borderId="0" xfId="181" applyNumberFormat="1" applyFont="1" applyAlignment="1">
      <alignment horizontal="left" vertical="top" wrapText="1"/>
    </xf>
    <xf numFmtId="0" fontId="56" fillId="0" borderId="0" xfId="0" applyFont="1" applyAlignment="1">
      <alignment horizontal="center" wrapText="1"/>
    </xf>
    <xf numFmtId="3" fontId="59" fillId="0" borderId="0" xfId="0" applyNumberFormat="1" applyFont="1" applyAlignment="1">
      <alignment horizontal="center" wrapText="1"/>
    </xf>
    <xf numFmtId="2" fontId="54" fillId="0" borderId="0" xfId="218" applyNumberFormat="1" applyFont="1" applyAlignment="1">
      <alignment wrapText="1"/>
    </xf>
    <xf numFmtId="0" fontId="54" fillId="0" borderId="0" xfId="0" applyFont="1" applyAlignment="1">
      <alignment horizontal="left" wrapText="1"/>
    </xf>
    <xf numFmtId="3" fontId="54" fillId="0" borderId="0" xfId="0" applyNumberFormat="1" applyFont="1" applyAlignment="1">
      <alignment horizontal="center" wrapText="1"/>
    </xf>
    <xf numFmtId="0" fontId="54" fillId="0" borderId="0" xfId="218" applyFont="1" applyAlignment="1">
      <alignment horizontal="center" wrapText="1"/>
    </xf>
    <xf numFmtId="2" fontId="54" fillId="0" borderId="0" xfId="216" applyNumberFormat="1" applyFont="1" applyAlignment="1">
      <alignment horizontal="center" vertical="center" wrapText="1"/>
    </xf>
    <xf numFmtId="179" fontId="2" fillId="0" borderId="0" xfId="0" applyNumberFormat="1" applyFont="1"/>
    <xf numFmtId="2" fontId="54" fillId="0" borderId="0" xfId="218" applyNumberFormat="1" applyFont="1" applyAlignment="1">
      <alignment horizontal="center" wrapText="1"/>
    </xf>
    <xf numFmtId="2" fontId="54" fillId="0" borderId="0" xfId="218" applyNumberFormat="1" applyFont="1" applyAlignment="1">
      <alignment horizontal="right" wrapText="1"/>
    </xf>
    <xf numFmtId="2" fontId="54" fillId="0" borderId="0" xfId="216" applyNumberFormat="1" applyFont="1" applyAlignment="1">
      <alignment horizontal="center" wrapText="1"/>
    </xf>
    <xf numFmtId="180" fontId="54" fillId="0" borderId="0" xfId="0" applyNumberFormat="1" applyFont="1" applyAlignment="1">
      <alignment horizontal="right" wrapText="1"/>
    </xf>
    <xf numFmtId="0" fontId="59" fillId="0" borderId="0" xfId="0" applyFont="1" applyAlignment="1">
      <alignment horizontal="center" vertical="center" wrapText="1"/>
    </xf>
    <xf numFmtId="0" fontId="54" fillId="0" borderId="0" xfId="218" applyFont="1" applyAlignment="1">
      <alignment horizontal="center" vertical="center" wrapText="1"/>
    </xf>
    <xf numFmtId="2" fontId="54" fillId="0" borderId="0" xfId="218" applyNumberFormat="1" applyFont="1" applyAlignment="1">
      <alignment vertical="center" wrapText="1"/>
    </xf>
    <xf numFmtId="0" fontId="59" fillId="0" borderId="0" xfId="218" applyFont="1" applyAlignment="1">
      <alignment horizontal="left" wrapText="1"/>
    </xf>
    <xf numFmtId="0" fontId="59" fillId="0" borderId="0" xfId="218" applyFont="1" applyAlignment="1">
      <alignment horizontal="center" wrapText="1"/>
    </xf>
    <xf numFmtId="180" fontId="59" fillId="0" borderId="0" xfId="218" applyNumberFormat="1" applyFont="1" applyAlignment="1">
      <alignment wrapText="1"/>
    </xf>
    <xf numFmtId="0" fontId="54" fillId="0" borderId="0" xfId="0" applyFont="1" applyAlignment="1">
      <alignment horizontal="justify" wrapText="1"/>
    </xf>
    <xf numFmtId="49" fontId="54" fillId="0" borderId="0" xfId="0" applyNumberFormat="1" applyFont="1" applyAlignment="1">
      <alignment horizontal="left" vertical="top" wrapText="1"/>
    </xf>
    <xf numFmtId="2" fontId="54" fillId="0" borderId="0" xfId="0" applyNumberFormat="1" applyFont="1" applyAlignment="1">
      <alignment wrapText="1"/>
    </xf>
    <xf numFmtId="180" fontId="59" fillId="0" borderId="0" xfId="0" applyNumberFormat="1" applyFont="1" applyAlignment="1">
      <alignment horizontal="right" wrapText="1"/>
    </xf>
    <xf numFmtId="3" fontId="65" fillId="0" borderId="0" xfId="0" applyNumberFormat="1" applyFont="1" applyAlignment="1">
      <alignment horizontal="center" vertical="center" wrapText="1"/>
    </xf>
    <xf numFmtId="0" fontId="59" fillId="0" borderId="0" xfId="218" applyFont="1" applyAlignment="1">
      <alignment horizontal="center" vertical="center" wrapText="1"/>
    </xf>
    <xf numFmtId="2" fontId="54" fillId="0" borderId="0" xfId="218" applyNumberFormat="1" applyFont="1" applyAlignment="1">
      <alignment horizontal="center" vertical="center" wrapText="1"/>
    </xf>
    <xf numFmtId="0" fontId="66" fillId="0" borderId="0" xfId="218" applyFont="1" applyAlignment="1">
      <alignment horizontal="center" wrapText="1"/>
    </xf>
    <xf numFmtId="2" fontId="67" fillId="0" borderId="0" xfId="218" applyNumberFormat="1" applyFont="1" applyAlignment="1">
      <alignment horizontal="center" vertical="center" wrapText="1"/>
    </xf>
    <xf numFmtId="0" fontId="68" fillId="0" borderId="0" xfId="218" applyFont="1" applyAlignment="1">
      <alignment horizontal="center" wrapText="1"/>
    </xf>
    <xf numFmtId="2" fontId="69" fillId="0" borderId="0" xfId="218" applyNumberFormat="1" applyFont="1" applyAlignment="1">
      <alignment horizontal="center" vertical="center" wrapText="1"/>
    </xf>
    <xf numFmtId="3" fontId="69" fillId="0" borderId="0" xfId="0" applyNumberFormat="1" applyFont="1" applyAlignment="1">
      <alignment horizontal="center" wrapText="1"/>
    </xf>
    <xf numFmtId="3" fontId="67" fillId="0" borderId="0" xfId="0" applyNumberFormat="1" applyFont="1" applyAlignment="1">
      <alignment horizontal="center" wrapText="1"/>
    </xf>
    <xf numFmtId="2" fontId="69" fillId="0" borderId="0" xfId="218" applyNumberFormat="1" applyFont="1" applyAlignment="1">
      <alignment horizontal="center" wrapText="1"/>
    </xf>
    <xf numFmtId="0" fontId="54" fillId="0" borderId="0" xfId="0" applyFont="1" applyAlignment="1">
      <alignment horizontal="left" vertical="top" wrapText="1"/>
    </xf>
    <xf numFmtId="3" fontId="70" fillId="0" borderId="0" xfId="0" applyNumberFormat="1" applyFont="1" applyAlignment="1">
      <alignment horizontal="center" vertical="center" wrapText="1"/>
    </xf>
    <xf numFmtId="0" fontId="71" fillId="0" borderId="0" xfId="218" applyFont="1" applyAlignment="1">
      <alignment horizontal="center" wrapText="1"/>
    </xf>
    <xf numFmtId="3" fontId="58" fillId="0" borderId="0" xfId="0" applyNumberFormat="1" applyFont="1" applyAlignment="1">
      <alignment horizontal="center" wrapText="1"/>
    </xf>
    <xf numFmtId="2" fontId="58" fillId="0" borderId="0" xfId="0" applyNumberFormat="1" applyFont="1" applyAlignment="1">
      <alignment horizontal="center" vertical="center" wrapText="1"/>
    </xf>
    <xf numFmtId="2" fontId="69" fillId="0" borderId="0" xfId="0" applyNumberFormat="1" applyFont="1" applyAlignment="1">
      <alignment horizontal="center" vertical="center" wrapText="1"/>
    </xf>
    <xf numFmtId="2" fontId="67" fillId="0" borderId="0" xfId="0" applyNumberFormat="1" applyFont="1" applyAlignment="1">
      <alignment horizontal="center" vertical="center" wrapText="1"/>
    </xf>
    <xf numFmtId="0" fontId="54" fillId="0" borderId="0" xfId="0" applyFont="1" applyAlignment="1">
      <alignment horizontal="center" vertical="top" wrapText="1"/>
    </xf>
    <xf numFmtId="0" fontId="67" fillId="0" borderId="0" xfId="0" applyFont="1" applyAlignment="1">
      <alignment horizontal="center" vertical="top" wrapText="1"/>
    </xf>
    <xf numFmtId="2" fontId="67" fillId="0" borderId="0" xfId="0" applyNumberFormat="1" applyFont="1" applyAlignment="1">
      <alignment wrapText="1"/>
    </xf>
    <xf numFmtId="0" fontId="69" fillId="0" borderId="0" xfId="0" applyFont="1" applyAlignment="1">
      <alignment horizontal="center" vertical="top" wrapText="1"/>
    </xf>
    <xf numFmtId="2" fontId="69" fillId="0" borderId="0" xfId="0" applyNumberFormat="1" applyFont="1" applyAlignment="1">
      <alignment wrapText="1"/>
    </xf>
    <xf numFmtId="0" fontId="58" fillId="0" borderId="0" xfId="0" applyFont="1" applyAlignment="1">
      <alignment horizontal="center" vertical="top" wrapText="1"/>
    </xf>
    <xf numFmtId="2" fontId="58" fillId="0" borderId="0" xfId="0" applyNumberFormat="1" applyFont="1" applyAlignment="1">
      <alignment wrapText="1"/>
    </xf>
    <xf numFmtId="167" fontId="54" fillId="0" borderId="0" xfId="0" applyNumberFormat="1" applyFont="1" applyAlignment="1">
      <alignment wrapText="1"/>
    </xf>
    <xf numFmtId="0" fontId="59" fillId="0" borderId="0" xfId="0" applyFont="1" applyAlignment="1">
      <alignment horizontal="justify" wrapText="1"/>
    </xf>
    <xf numFmtId="178" fontId="54" fillId="0" borderId="0" xfId="0" applyNumberFormat="1" applyFont="1" applyAlignment="1">
      <alignment horizontal="right" wrapText="1"/>
    </xf>
    <xf numFmtId="167" fontId="2" fillId="0" borderId="0" xfId="0" applyNumberFormat="1" applyFont="1" applyAlignment="1">
      <alignment wrapText="1"/>
    </xf>
    <xf numFmtId="180" fontId="2" fillId="0" borderId="0" xfId="181" applyNumberFormat="1" applyFont="1" applyAlignment="1">
      <alignment wrapText="1"/>
    </xf>
    <xf numFmtId="3" fontId="59" fillId="0" borderId="0" xfId="0" applyNumberFormat="1" applyFont="1" applyAlignment="1">
      <alignment horizontal="right" wrapText="1"/>
    </xf>
    <xf numFmtId="179" fontId="54" fillId="0" borderId="0" xfId="0" applyNumberFormat="1" applyFont="1" applyAlignment="1">
      <alignment wrapText="1"/>
    </xf>
    <xf numFmtId="0" fontId="2" fillId="0" borderId="0" xfId="181" applyFont="1" applyAlignment="1">
      <alignment horizontal="left" vertical="top" wrapText="1"/>
    </xf>
    <xf numFmtId="2" fontId="59" fillId="0" borderId="0" xfId="218" applyNumberFormat="1" applyFont="1" applyAlignment="1">
      <alignment wrapText="1"/>
    </xf>
    <xf numFmtId="0" fontId="60" fillId="0" borderId="0" xfId="219" applyFont="1" applyAlignment="1">
      <alignment horizontal="left" vertical="top" wrapText="1"/>
      <protection locked="0"/>
    </xf>
    <xf numFmtId="49" fontId="60" fillId="0" borderId="0" xfId="219" applyNumberFormat="1" applyFont="1" applyAlignment="1">
      <alignment horizontal="left" vertical="top" wrapText="1"/>
      <protection locked="0"/>
    </xf>
    <xf numFmtId="0" fontId="59" fillId="0" borderId="0" xfId="215" applyFont="1" applyAlignment="1">
      <alignment horizontal="left" wrapText="1"/>
    </xf>
    <xf numFmtId="0" fontId="59" fillId="0" borderId="0" xfId="219" applyFont="1" applyAlignment="1">
      <alignment horizontal="center" vertical="top" wrapText="1"/>
      <protection locked="0"/>
    </xf>
    <xf numFmtId="2" fontId="59" fillId="0" borderId="0" xfId="219" applyNumberFormat="1" applyFont="1" applyAlignment="1">
      <alignment horizontal="left" vertical="top"/>
      <protection locked="0"/>
    </xf>
    <xf numFmtId="2" fontId="59" fillId="0" borderId="0" xfId="219" applyNumberFormat="1" applyFont="1" applyAlignment="1">
      <alignment horizontal="center" vertical="top"/>
      <protection locked="0"/>
    </xf>
    <xf numFmtId="180" fontId="59" fillId="0" borderId="0" xfId="219" applyNumberFormat="1" applyFont="1" applyAlignment="1">
      <alignment horizontal="right"/>
      <protection locked="0"/>
    </xf>
    <xf numFmtId="179" fontId="2" fillId="0" borderId="0" xfId="219" applyNumberFormat="1" applyFont="1" applyAlignment="1">
      <alignment horizontal="left" vertical="top" wrapText="1"/>
      <protection locked="0"/>
    </xf>
    <xf numFmtId="0" fontId="72" fillId="0" borderId="0" xfId="219" applyFont="1" applyAlignment="1">
      <alignment horizontal="left" vertical="top" wrapText="1"/>
      <protection locked="0"/>
    </xf>
    <xf numFmtId="0" fontId="54" fillId="0" borderId="0" xfId="219" applyFont="1" applyAlignment="1">
      <alignment horizontal="center" vertical="top" wrapText="1"/>
      <protection locked="0"/>
    </xf>
    <xf numFmtId="2" fontId="54" fillId="0" borderId="0" xfId="219" applyNumberFormat="1" applyFont="1" applyAlignment="1">
      <alignment horizontal="right" vertical="top"/>
      <protection locked="0"/>
    </xf>
    <xf numFmtId="2" fontId="54" fillId="0" borderId="0" xfId="219" applyNumberFormat="1" applyFont="1" applyAlignment="1">
      <alignment horizontal="center" vertical="top"/>
      <protection locked="0"/>
    </xf>
    <xf numFmtId="180" fontId="54" fillId="0" borderId="0" xfId="219" applyNumberFormat="1" applyFont="1" applyAlignment="1">
      <alignment horizontal="right" vertical="top"/>
      <protection locked="0"/>
    </xf>
    <xf numFmtId="0" fontId="54" fillId="0" borderId="0" xfId="219" applyFont="1" applyAlignment="1">
      <alignment horizontal="left" vertical="top" wrapText="1"/>
      <protection locked="0"/>
    </xf>
    <xf numFmtId="0" fontId="72" fillId="0" borderId="0" xfId="219" applyFont="1" applyAlignment="1">
      <alignment horizontal="center" vertical="top" wrapText="1"/>
      <protection locked="0"/>
    </xf>
    <xf numFmtId="2" fontId="72" fillId="0" borderId="0" xfId="219" applyNumberFormat="1" applyFont="1" applyAlignment="1">
      <alignment horizontal="right" vertical="top"/>
      <protection locked="0"/>
    </xf>
    <xf numFmtId="2" fontId="72" fillId="0" borderId="0" xfId="219" applyNumberFormat="1" applyFont="1" applyAlignment="1">
      <alignment horizontal="center" vertical="top"/>
      <protection locked="0"/>
    </xf>
    <xf numFmtId="179" fontId="73" fillId="0" borderId="0" xfId="219" applyNumberFormat="1" applyFont="1" applyAlignment="1">
      <alignment horizontal="left" vertical="top" wrapText="1"/>
      <protection locked="0"/>
    </xf>
    <xf numFmtId="0" fontId="54" fillId="0" borderId="0" xfId="215" applyFont="1" applyAlignment="1">
      <alignment horizontal="left" wrapText="1"/>
    </xf>
    <xf numFmtId="0" fontId="2" fillId="0" borderId="0" xfId="219" applyFont="1" applyAlignment="1">
      <alignment horizontal="center" vertical="top" wrapText="1"/>
      <protection locked="0"/>
    </xf>
    <xf numFmtId="2" fontId="54" fillId="0" borderId="0" xfId="219" applyNumberFormat="1" applyFont="1" applyAlignment="1">
      <alignment horizontal="right"/>
      <protection locked="0"/>
    </xf>
    <xf numFmtId="2" fontId="2" fillId="0" borderId="0" xfId="219" applyNumberFormat="1" applyFont="1" applyAlignment="1">
      <alignment horizontal="center"/>
      <protection locked="0"/>
    </xf>
    <xf numFmtId="180" fontId="54" fillId="0" borderId="0" xfId="181" applyNumberFormat="1" applyFont="1" applyAlignment="1">
      <alignment horizontal="right" wrapText="1"/>
    </xf>
    <xf numFmtId="0" fontId="2" fillId="0" borderId="0" xfId="219" applyFont="1" applyAlignment="1">
      <alignment horizontal="left" vertical="top" wrapText="1"/>
      <protection locked="0"/>
    </xf>
    <xf numFmtId="2" fontId="2" fillId="0" borderId="0" xfId="219" applyNumberFormat="1" applyFont="1" applyAlignment="1">
      <alignment horizontal="center" vertical="top"/>
      <protection locked="0"/>
    </xf>
    <xf numFmtId="180" fontId="2" fillId="0" borderId="0" xfId="219" applyNumberFormat="1" applyFont="1" applyAlignment="1">
      <alignment horizontal="right" vertical="top"/>
      <protection locked="0"/>
    </xf>
    <xf numFmtId="0" fontId="54" fillId="0" borderId="0" xfId="218" applyFont="1" applyAlignment="1">
      <alignment horizontal="left" wrapText="1"/>
    </xf>
    <xf numFmtId="4" fontId="54" fillId="0" borderId="0" xfId="0" applyNumberFormat="1" applyFont="1" applyAlignment="1">
      <alignment wrapText="1"/>
    </xf>
    <xf numFmtId="0" fontId="59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60" fillId="0" borderId="0" xfId="0" applyFont="1" applyAlignment="1">
      <alignment horizontal="center" wrapText="1"/>
    </xf>
    <xf numFmtId="49" fontId="54" fillId="0" borderId="0" xfId="0" applyNumberFormat="1" applyFont="1" applyAlignment="1">
      <alignment horizontal="left" wrapText="1"/>
    </xf>
    <xf numFmtId="3" fontId="2" fillId="0" borderId="0" xfId="0" applyNumberFormat="1" applyFont="1" applyAlignment="1">
      <alignment horizontal="center" wrapText="1"/>
    </xf>
    <xf numFmtId="3" fontId="62" fillId="0" borderId="0" xfId="0" applyNumberFormat="1" applyFont="1" applyAlignment="1">
      <alignment horizontal="center" wrapText="1"/>
    </xf>
    <xf numFmtId="3" fontId="54" fillId="0" borderId="0" xfId="218" applyNumberFormat="1" applyFont="1" applyAlignment="1">
      <alignment horizontal="right" wrapText="1"/>
    </xf>
    <xf numFmtId="0" fontId="2" fillId="0" borderId="0" xfId="218" applyFont="1" applyAlignment="1">
      <alignment wrapText="1"/>
    </xf>
    <xf numFmtId="0" fontId="54" fillId="0" borderId="0" xfId="218" applyFont="1" applyAlignment="1">
      <alignment horizontal="right" wrapText="1"/>
    </xf>
    <xf numFmtId="2" fontId="54" fillId="0" borderId="0" xfId="216" applyNumberFormat="1" applyFont="1" applyAlignment="1">
      <alignment vertical="center" wrapText="1"/>
    </xf>
    <xf numFmtId="1" fontId="54" fillId="0" borderId="0" xfId="0" applyNumberFormat="1" applyFont="1" applyAlignment="1">
      <alignment horizontal="right" vertical="center" wrapText="1"/>
    </xf>
    <xf numFmtId="49" fontId="2" fillId="0" borderId="0" xfId="0" applyNumberFormat="1" applyFont="1" applyAlignment="1">
      <alignment horizontal="center" vertical="center" wrapText="1"/>
    </xf>
    <xf numFmtId="2" fontId="59" fillId="0" borderId="0" xfId="0" applyNumberFormat="1" applyFont="1" applyAlignment="1">
      <alignment horizontal="right" wrapText="1"/>
    </xf>
    <xf numFmtId="180" fontId="59" fillId="0" borderId="0" xfId="181" applyNumberFormat="1" applyFont="1" applyAlignment="1">
      <alignment horizontal="center" wrapText="1"/>
    </xf>
    <xf numFmtId="181" fontId="59" fillId="0" borderId="0" xfId="181" applyNumberFormat="1" applyFont="1" applyAlignment="1">
      <alignment horizontal="center" wrapText="1"/>
    </xf>
    <xf numFmtId="0" fontId="74" fillId="0" borderId="0" xfId="0" applyFont="1" applyAlignment="1">
      <alignment horizontal="center" wrapText="1"/>
    </xf>
    <xf numFmtId="0" fontId="75" fillId="0" borderId="0" xfId="0" applyFont="1" applyAlignment="1">
      <alignment horizontal="center" wrapText="1"/>
    </xf>
    <xf numFmtId="0" fontId="2" fillId="0" borderId="0" xfId="181" applyFont="1" applyAlignment="1">
      <alignment horizontal="center" vertical="center" wrapText="1"/>
    </xf>
    <xf numFmtId="0" fontId="62" fillId="0" borderId="0" xfId="181" applyFont="1" applyAlignment="1">
      <alignment horizontal="center" vertical="center" wrapText="1"/>
    </xf>
    <xf numFmtId="49" fontId="62" fillId="0" borderId="0" xfId="181" applyNumberFormat="1" applyFont="1" applyAlignment="1">
      <alignment horizontal="center" vertical="center" wrapText="1"/>
    </xf>
    <xf numFmtId="0" fontId="54" fillId="0" borderId="0" xfId="181" applyFont="1" applyAlignment="1">
      <alignment horizontal="center" vertical="center" wrapText="1"/>
    </xf>
    <xf numFmtId="3" fontId="59" fillId="0" borderId="0" xfId="0" applyNumberFormat="1" applyFont="1" applyAlignment="1">
      <alignment horizontal="center" vertical="center" wrapText="1"/>
    </xf>
    <xf numFmtId="3" fontId="54" fillId="0" borderId="0" xfId="0" applyNumberFormat="1" applyFont="1" applyAlignment="1">
      <alignment horizontal="center" vertical="center" wrapText="1"/>
    </xf>
    <xf numFmtId="3" fontId="69" fillId="0" borderId="0" xfId="0" applyNumberFormat="1" applyFont="1" applyAlignment="1">
      <alignment horizontal="center" vertical="center" wrapText="1"/>
    </xf>
    <xf numFmtId="3" fontId="67" fillId="0" borderId="0" xfId="0" applyNumberFormat="1" applyFont="1" applyAlignment="1">
      <alignment horizontal="center" vertical="center" wrapText="1"/>
    </xf>
    <xf numFmtId="3" fontId="58" fillId="0" borderId="0" xfId="0" applyNumberFormat="1" applyFont="1" applyAlignment="1">
      <alignment horizontal="center" vertical="center" wrapText="1"/>
    </xf>
    <xf numFmtId="0" fontId="59" fillId="0" borderId="0" xfId="219" applyFont="1" applyAlignment="1">
      <alignment horizontal="center" vertical="center" wrapText="1"/>
      <protection locked="0"/>
    </xf>
    <xf numFmtId="0" fontId="54" fillId="0" borderId="0" xfId="219" applyFont="1" applyAlignment="1">
      <alignment horizontal="center" vertical="center" wrapText="1"/>
      <protection locked="0"/>
    </xf>
    <xf numFmtId="0" fontId="72" fillId="0" borderId="0" xfId="219" applyFont="1" applyAlignment="1">
      <alignment horizontal="center" vertical="center" wrapText="1"/>
      <protection locked="0"/>
    </xf>
    <xf numFmtId="0" fontId="2" fillId="0" borderId="0" xfId="219" applyFont="1" applyAlignment="1">
      <alignment horizontal="center" vertical="center" wrapText="1"/>
      <protection locked="0"/>
    </xf>
    <xf numFmtId="0" fontId="60" fillId="0" borderId="0" xfId="0" applyFont="1" applyAlignment="1">
      <alignment horizontal="center" vertical="center" wrapText="1"/>
    </xf>
    <xf numFmtId="3" fontId="6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54" fillId="0" borderId="0" xfId="218" applyNumberFormat="1" applyFont="1" applyAlignment="1">
      <alignment horizontal="center" vertical="center" wrapText="1"/>
    </xf>
    <xf numFmtId="1" fontId="54" fillId="0" borderId="0" xfId="0" applyNumberFormat="1" applyFont="1" applyAlignment="1">
      <alignment horizontal="center" vertical="center" wrapText="1"/>
    </xf>
    <xf numFmtId="0" fontId="59" fillId="0" borderId="0" xfId="0" applyFont="1" applyAlignment="1">
      <alignment horizontal="left" wrapText="1"/>
    </xf>
    <xf numFmtId="0" fontId="16" fillId="0" borderId="0" xfId="0" applyFont="1" applyAlignment="1">
      <alignment horizontal="right"/>
    </xf>
  </cellXfs>
  <cellStyles count="252">
    <cellStyle name="_08_4914_006_02_09_51_Výkaz výměr_2010-05" xfId="1" xr:uid="{00000000-0005-0000-0000-000000000000}"/>
    <cellStyle name="_5230_RD Kunratice - sklípek_rozpočet" xfId="2" xr:uid="{00000000-0005-0000-0000-000001000000}"/>
    <cellStyle name="_5230_RD Kunratice - sklípek_rozpočet_002_08_4914_002_01_09_17_002Technicka_specifikace_2etapa" xfId="3" xr:uid="{00000000-0005-0000-0000-000002000000}"/>
    <cellStyle name="_5230_RD Kunratice - sklípek_rozpočet_09_bur_kanali" xfId="4" xr:uid="{00000000-0005-0000-0000-000003000000}"/>
    <cellStyle name="_5230_RD Kunratice - sklípek_rozpočet_09_bur_podlažní_vestavby" xfId="5" xr:uid="{00000000-0005-0000-0000-000004000000}"/>
    <cellStyle name="_5230_RD Kunratice - sklípek_rozpočet_09_buri_malby" xfId="6" xr:uid="{00000000-0005-0000-0000-000005000000}"/>
    <cellStyle name="_5230_RD Kunratice - sklípek_rozpočet_09_buri_regaly" xfId="7" xr:uid="{00000000-0005-0000-0000-000006000000}"/>
    <cellStyle name="_5230_RD Kunratice - sklípek_rozpočet_09-13-zbytek" xfId="8" xr:uid="{00000000-0005-0000-0000-000007000000}"/>
    <cellStyle name="_5230_RD Kunratice - sklípek_rozpočet_09-17" xfId="9" xr:uid="{00000000-0005-0000-0000-000008000000}"/>
    <cellStyle name="_5230_RD Kunratice - sklípek_rozpočet_09-20" xfId="10" xr:uid="{00000000-0005-0000-0000-000009000000}"/>
    <cellStyle name="_Dostavba školy Nymburk_Celková rekapitulace" xfId="11" xr:uid="{00000000-0005-0000-0000-00000A000000}"/>
    <cellStyle name="_Dostavba školy Nymburk_Celková rekapitulace_002_08_4914_002_01_09_17_002Technicka_specifikace_2etapa" xfId="12" xr:uid="{00000000-0005-0000-0000-00000B000000}"/>
    <cellStyle name="_Dostavba školy Nymburk_Celková rekapitulace_09_bur_kanali" xfId="13" xr:uid="{00000000-0005-0000-0000-00000C000000}"/>
    <cellStyle name="_Dostavba školy Nymburk_Celková rekapitulace_09_bur_podlažní_vestavby" xfId="14" xr:uid="{00000000-0005-0000-0000-00000D000000}"/>
    <cellStyle name="_Dostavba školy Nymburk_Celková rekapitulace_09_buri_malby" xfId="15" xr:uid="{00000000-0005-0000-0000-00000E000000}"/>
    <cellStyle name="_Dostavba školy Nymburk_Celková rekapitulace_09_buri_regaly" xfId="16" xr:uid="{00000000-0005-0000-0000-00000F000000}"/>
    <cellStyle name="_Dostavba školy Nymburk_Celková rekapitulace_09-13-zbytek" xfId="17" xr:uid="{00000000-0005-0000-0000-000010000000}"/>
    <cellStyle name="_Dostavba školy Nymburk_Celková rekapitulace_09-17" xfId="18" xr:uid="{00000000-0005-0000-0000-000011000000}"/>
    <cellStyle name="_Dostavba školy Nymburk_Celková rekapitulace_09-20" xfId="19" xr:uid="{00000000-0005-0000-0000-000012000000}"/>
    <cellStyle name="_Dostavba školy Nymburk_Celková rekapitulace_SO 05 interiér propočet" xfId="20" xr:uid="{00000000-0005-0000-0000-000013000000}"/>
    <cellStyle name="_Dostavba školy Nymburk_Celková rekapitulace_SO 05 střecha propočet" xfId="21" xr:uid="{00000000-0005-0000-0000-000014000000}"/>
    <cellStyle name="_Dostavba školy Nymburk_Celková rekapitulace_SO 05 vzduchové sanační úpravy propočet" xfId="22" xr:uid="{00000000-0005-0000-0000-000015000000}"/>
    <cellStyle name="_Ladronka_2_VV-DVD_kontrola_FINAL" xfId="23" xr:uid="{00000000-0005-0000-0000-000016000000}"/>
    <cellStyle name="_Ladronka_2_VV-DVD_kontrola_FINAL_002_08_4914_002_01_09_17_002Technicka_specifikace_2etapa" xfId="24" xr:uid="{00000000-0005-0000-0000-000017000000}"/>
    <cellStyle name="_Ladronka_2_VV-DVD_kontrola_FINAL_09-13-zbytek" xfId="25" xr:uid="{00000000-0005-0000-0000-000018000000}"/>
    <cellStyle name="_Ladronka_2_VV-DVD_kontrola_FINAL_09-17" xfId="26" xr:uid="{00000000-0005-0000-0000-000019000000}"/>
    <cellStyle name="_Ladronka_2_VV-DVD_kontrola_FINAL_SO 05 interiér propočet" xfId="27" xr:uid="{00000000-0005-0000-0000-00001A000000}"/>
    <cellStyle name="_Ladronka_2_VV-DVD_kontrola_FINAL_SO 05 střecha propočet" xfId="28" xr:uid="{00000000-0005-0000-0000-00001B000000}"/>
    <cellStyle name="_Ladronka_2_VV-DVD_kontrola_FINAL_SO 05 vzduchové sanační úpravy propočet" xfId="29" xr:uid="{00000000-0005-0000-0000-00001C000000}"/>
    <cellStyle name="_PERSONAL" xfId="30" xr:uid="{00000000-0005-0000-0000-00001D000000}"/>
    <cellStyle name="_PERSONAL_002_08_4914_002_01_09_17_002Technicka_specifikace_2etapa" xfId="31" xr:uid="{00000000-0005-0000-0000-00001E000000}"/>
    <cellStyle name="_PERSONAL_09_bur_kanali" xfId="32" xr:uid="{00000000-0005-0000-0000-00001F000000}"/>
    <cellStyle name="_PERSONAL_09_bur_podlažní_vestavby" xfId="33" xr:uid="{00000000-0005-0000-0000-000020000000}"/>
    <cellStyle name="_PERSONAL_09_buri_malby" xfId="34" xr:uid="{00000000-0005-0000-0000-000021000000}"/>
    <cellStyle name="_PERSONAL_09_buri_regaly" xfId="35" xr:uid="{00000000-0005-0000-0000-000022000000}"/>
    <cellStyle name="_PERSONAL_09-13-zbytek" xfId="36" xr:uid="{00000000-0005-0000-0000-000023000000}"/>
    <cellStyle name="_PERSONAL_09-17" xfId="37" xr:uid="{00000000-0005-0000-0000-000024000000}"/>
    <cellStyle name="_PERSONAL_09-20" xfId="38" xr:uid="{00000000-0005-0000-0000-000025000000}"/>
    <cellStyle name="_PERSONAL_1" xfId="39" xr:uid="{00000000-0005-0000-0000-000026000000}"/>
    <cellStyle name="_PERSONAL_1_002_08_4914_002_01_09_17_002Technicka_specifikace_2etapa" xfId="40" xr:uid="{00000000-0005-0000-0000-000027000000}"/>
    <cellStyle name="_PERSONAL_1_09_bur_kanali" xfId="41" xr:uid="{00000000-0005-0000-0000-000028000000}"/>
    <cellStyle name="_PERSONAL_1_09_bur_podlažní_vestavby" xfId="42" xr:uid="{00000000-0005-0000-0000-000029000000}"/>
    <cellStyle name="_PERSONAL_1_09_buri_malby" xfId="43" xr:uid="{00000000-0005-0000-0000-00002A000000}"/>
    <cellStyle name="_PERSONAL_1_09_buri_regaly" xfId="44" xr:uid="{00000000-0005-0000-0000-00002B000000}"/>
    <cellStyle name="_PERSONAL_1_09-13-zbytek" xfId="45" xr:uid="{00000000-0005-0000-0000-00002C000000}"/>
    <cellStyle name="_PERSONAL_1_09-17" xfId="46" xr:uid="{00000000-0005-0000-0000-00002D000000}"/>
    <cellStyle name="_PERSONAL_1_09-20" xfId="47" xr:uid="{00000000-0005-0000-0000-00002E000000}"/>
    <cellStyle name="_PERSONAL_1_SO 05 interiér propočet" xfId="48" xr:uid="{00000000-0005-0000-0000-00002F000000}"/>
    <cellStyle name="_PERSONAL_1_SO 05 střecha propočet" xfId="49" xr:uid="{00000000-0005-0000-0000-000030000000}"/>
    <cellStyle name="_PERSONAL_1_SO 05 vzduchové sanační úpravy propočet" xfId="50" xr:uid="{00000000-0005-0000-0000-000031000000}"/>
    <cellStyle name="_PERSONAL_SO 05 interiér propočet" xfId="51" xr:uid="{00000000-0005-0000-0000-000032000000}"/>
    <cellStyle name="_PERSONAL_SO 05 střecha propočet" xfId="52" xr:uid="{00000000-0005-0000-0000-000033000000}"/>
    <cellStyle name="_PERSONAL_SO 05 vzduchové sanační úpravy propočet" xfId="53" xr:uid="{00000000-0005-0000-0000-000034000000}"/>
    <cellStyle name="_Q-Sadovky-výkaz-2003-07-01" xfId="54" xr:uid="{00000000-0005-0000-0000-000035000000}"/>
    <cellStyle name="_Q-Sadovky-výkaz-2003-07-01_002_08_4914_002_01_09_17_002Technicka_specifikace_2etapa" xfId="55" xr:uid="{00000000-0005-0000-0000-000036000000}"/>
    <cellStyle name="_Q-Sadovky-výkaz-2003-07-01_09-13-zbytek" xfId="56" xr:uid="{00000000-0005-0000-0000-000037000000}"/>
    <cellStyle name="_Q-Sadovky-výkaz-2003-07-01_09-17" xfId="57" xr:uid="{00000000-0005-0000-0000-000038000000}"/>
    <cellStyle name="_Q-Sadovky-výkaz-2003-07-01_1" xfId="58" xr:uid="{00000000-0005-0000-0000-000039000000}"/>
    <cellStyle name="_Q-Sadovky-výkaz-2003-07-01_1_002_08_4914_002_01_09_17_002Technicka_specifikace_2etapa" xfId="59" xr:uid="{00000000-0005-0000-0000-00003A000000}"/>
    <cellStyle name="_Q-Sadovky-výkaz-2003-07-01_1_09_bur_kanali" xfId="60" xr:uid="{00000000-0005-0000-0000-00003B000000}"/>
    <cellStyle name="_Q-Sadovky-výkaz-2003-07-01_1_09_bur_podlažní_vestavby" xfId="61" xr:uid="{00000000-0005-0000-0000-00003C000000}"/>
    <cellStyle name="_Q-Sadovky-výkaz-2003-07-01_1_09_buri_malby" xfId="62" xr:uid="{00000000-0005-0000-0000-00003D000000}"/>
    <cellStyle name="_Q-Sadovky-výkaz-2003-07-01_1_09_buri_regaly" xfId="63" xr:uid="{00000000-0005-0000-0000-00003E000000}"/>
    <cellStyle name="_Q-Sadovky-výkaz-2003-07-01_1_09-13-zbytek" xfId="64" xr:uid="{00000000-0005-0000-0000-00003F000000}"/>
    <cellStyle name="_Q-Sadovky-výkaz-2003-07-01_1_09-17" xfId="65" xr:uid="{00000000-0005-0000-0000-000040000000}"/>
    <cellStyle name="_Q-Sadovky-výkaz-2003-07-01_1_09-20" xfId="66" xr:uid="{00000000-0005-0000-0000-000041000000}"/>
    <cellStyle name="_Q-Sadovky-výkaz-2003-07-01_1_SO 05 interiér propočet" xfId="67" xr:uid="{00000000-0005-0000-0000-000042000000}"/>
    <cellStyle name="_Q-Sadovky-výkaz-2003-07-01_1_SO 05 střecha propočet" xfId="68" xr:uid="{00000000-0005-0000-0000-000043000000}"/>
    <cellStyle name="_Q-Sadovky-výkaz-2003-07-01_1_SO 05 vzduchové sanační úpravy propočet" xfId="69" xr:uid="{00000000-0005-0000-0000-000044000000}"/>
    <cellStyle name="_Q-Sadovky-výkaz-2003-07-01_2" xfId="70" xr:uid="{00000000-0005-0000-0000-000045000000}"/>
    <cellStyle name="_Q-Sadovky-výkaz-2003-07-01_2_002_08_4914_002_01_09_17_002Technicka_specifikace_2etapa" xfId="71" xr:uid="{00000000-0005-0000-0000-000046000000}"/>
    <cellStyle name="_Q-Sadovky-výkaz-2003-07-01_2_002_08_4914_002_01_09_17_002Technicka_specifikace_2etapa 2" xfId="72" xr:uid="{00000000-0005-0000-0000-000047000000}"/>
    <cellStyle name="_Q-Sadovky-výkaz-2003-07-01_2_09_bur_kanali" xfId="73" xr:uid="{00000000-0005-0000-0000-000048000000}"/>
    <cellStyle name="_Q-Sadovky-výkaz-2003-07-01_2_09_bur_podlažní_vestavby" xfId="74" xr:uid="{00000000-0005-0000-0000-000049000000}"/>
    <cellStyle name="_Q-Sadovky-výkaz-2003-07-01_2_09_buri_malby" xfId="75" xr:uid="{00000000-0005-0000-0000-00004A000000}"/>
    <cellStyle name="_Q-Sadovky-výkaz-2003-07-01_2_09_buri_regaly" xfId="76" xr:uid="{00000000-0005-0000-0000-00004B000000}"/>
    <cellStyle name="_Q-Sadovky-výkaz-2003-07-01_2_09-13-zbytek" xfId="77" xr:uid="{00000000-0005-0000-0000-00004C000000}"/>
    <cellStyle name="_Q-Sadovky-výkaz-2003-07-01_2_09-13-zbytek 2" xfId="78" xr:uid="{00000000-0005-0000-0000-00004D000000}"/>
    <cellStyle name="_Q-Sadovky-výkaz-2003-07-01_2_09-17" xfId="79" xr:uid="{00000000-0005-0000-0000-00004E000000}"/>
    <cellStyle name="_Q-Sadovky-výkaz-2003-07-01_2_09-17 2" xfId="80" xr:uid="{00000000-0005-0000-0000-00004F000000}"/>
    <cellStyle name="_Q-Sadovky-výkaz-2003-07-01_2_09-20" xfId="81" xr:uid="{00000000-0005-0000-0000-000050000000}"/>
    <cellStyle name="_Q-Sadovky-výkaz-2003-07-01_2_SO 05 interiér propočet" xfId="82" xr:uid="{00000000-0005-0000-0000-000051000000}"/>
    <cellStyle name="_Q-Sadovky-výkaz-2003-07-01_2_SO 05 interiér propočet 2" xfId="83" xr:uid="{00000000-0005-0000-0000-000052000000}"/>
    <cellStyle name="_Q-Sadovky-výkaz-2003-07-01_2_SO 05 střecha propočet" xfId="84" xr:uid="{00000000-0005-0000-0000-000053000000}"/>
    <cellStyle name="_Q-Sadovky-výkaz-2003-07-01_2_SO 05 střecha propočet 2" xfId="85" xr:uid="{00000000-0005-0000-0000-000054000000}"/>
    <cellStyle name="_Q-Sadovky-výkaz-2003-07-01_2_SO 05 vzduchové sanační úpravy propočet" xfId="86" xr:uid="{00000000-0005-0000-0000-000055000000}"/>
    <cellStyle name="_Q-Sadovky-výkaz-2003-07-01_2_SO 05 vzduchové sanační úpravy propočet 2" xfId="87" xr:uid="{00000000-0005-0000-0000-000056000000}"/>
    <cellStyle name="_Q-Sadovky-výkaz-2003-07-01_3" xfId="88" xr:uid="{00000000-0005-0000-0000-000057000000}"/>
    <cellStyle name="_Q-Sadovky-výkaz-2003-07-01_3_002_08_4914_002_01_09_17_002Technicka_specifikace_2etapa" xfId="89" xr:uid="{00000000-0005-0000-0000-000058000000}"/>
    <cellStyle name="_Q-Sadovky-výkaz-2003-07-01_3_09_bur_kanali" xfId="90" xr:uid="{00000000-0005-0000-0000-000059000000}"/>
    <cellStyle name="_Q-Sadovky-výkaz-2003-07-01_3_09_bur_podlažní_vestavby" xfId="91" xr:uid="{00000000-0005-0000-0000-00005A000000}"/>
    <cellStyle name="_Q-Sadovky-výkaz-2003-07-01_3_09_buri_malby" xfId="92" xr:uid="{00000000-0005-0000-0000-00005B000000}"/>
    <cellStyle name="_Q-Sadovky-výkaz-2003-07-01_3_09_buri_regaly" xfId="93" xr:uid="{00000000-0005-0000-0000-00005C000000}"/>
    <cellStyle name="_Q-Sadovky-výkaz-2003-07-01_3_09-13-zbytek" xfId="94" xr:uid="{00000000-0005-0000-0000-00005D000000}"/>
    <cellStyle name="_Q-Sadovky-výkaz-2003-07-01_3_09-17" xfId="95" xr:uid="{00000000-0005-0000-0000-00005E000000}"/>
    <cellStyle name="_Q-Sadovky-výkaz-2003-07-01_3_09-20" xfId="96" xr:uid="{00000000-0005-0000-0000-00005F000000}"/>
    <cellStyle name="_Q-Sadovky-výkaz-2003-07-01_3_SO 05 interiér propočet" xfId="97" xr:uid="{00000000-0005-0000-0000-000060000000}"/>
    <cellStyle name="_Q-Sadovky-výkaz-2003-07-01_3_SO 05 střecha propočet" xfId="98" xr:uid="{00000000-0005-0000-0000-000061000000}"/>
    <cellStyle name="_Q-Sadovky-výkaz-2003-07-01_3_SO 05 vzduchové sanační úpravy propočet" xfId="99" xr:uid="{00000000-0005-0000-0000-000062000000}"/>
    <cellStyle name="_Q-Sadovky-výkaz-2003-07-01_SO 05 interiér propočet" xfId="100" xr:uid="{00000000-0005-0000-0000-000063000000}"/>
    <cellStyle name="_Q-Sadovky-výkaz-2003-07-01_SO 05 střecha propočet" xfId="101" xr:uid="{00000000-0005-0000-0000-000064000000}"/>
    <cellStyle name="_Q-Sadovky-výkaz-2003-07-01_SO 05 vzduchové sanační úpravy propočet" xfId="102" xr:uid="{00000000-0005-0000-0000-000065000000}"/>
    <cellStyle name="_Rekonstrukce rozvaděčů I P Pavlova_RO" xfId="103" xr:uid="{00000000-0005-0000-0000-000066000000}"/>
    <cellStyle name="_SROV Nám Míru - HOFA" xfId="104" xr:uid="{00000000-0005-0000-0000-000067000000}"/>
    <cellStyle name="_Titulní list" xfId="105" xr:uid="{00000000-0005-0000-0000-000068000000}"/>
    <cellStyle name="_Titulní list_002_08_4914_002_01_09_17_002Technicka_specifikace_2etapa" xfId="106" xr:uid="{00000000-0005-0000-0000-000069000000}"/>
    <cellStyle name="_Titulní list_09_bur_kanali" xfId="107" xr:uid="{00000000-0005-0000-0000-00006A000000}"/>
    <cellStyle name="_Titulní list_09_bur_podlažní_vestavby" xfId="108" xr:uid="{00000000-0005-0000-0000-00006B000000}"/>
    <cellStyle name="_Titulní list_09_buri_malby" xfId="109" xr:uid="{00000000-0005-0000-0000-00006C000000}"/>
    <cellStyle name="_Titulní list_09_buri_regaly" xfId="110" xr:uid="{00000000-0005-0000-0000-00006D000000}"/>
    <cellStyle name="_Titulní list_09-13-zbytek" xfId="111" xr:uid="{00000000-0005-0000-0000-00006E000000}"/>
    <cellStyle name="_Titulní list_09-17" xfId="112" xr:uid="{00000000-0005-0000-0000-00006F000000}"/>
    <cellStyle name="_Titulní list_09-20" xfId="113" xr:uid="{00000000-0005-0000-0000-000070000000}"/>
    <cellStyle name="_Titulní list_SO 05 interiér propočet" xfId="114" xr:uid="{00000000-0005-0000-0000-000071000000}"/>
    <cellStyle name="_Titulní list_SO 05 střecha propočet" xfId="115" xr:uid="{00000000-0005-0000-0000-000072000000}"/>
    <cellStyle name="_Titulní list_SO 05 vzduchové sanační úpravy propočet" xfId="116" xr:uid="{00000000-0005-0000-0000-000073000000}"/>
    <cellStyle name="_ZTI_rozpočet" xfId="117" xr:uid="{00000000-0005-0000-0000-000074000000}"/>
    <cellStyle name="_ZTI_rozpočet_002_08_4914_002_01_09_17_002Technicka_specifikace_2etapa" xfId="118" xr:uid="{00000000-0005-0000-0000-000075000000}"/>
    <cellStyle name="_ZTI_rozpočet_09-13-zbytek" xfId="119" xr:uid="{00000000-0005-0000-0000-000076000000}"/>
    <cellStyle name="_ZTI_rozpočet_09-17" xfId="120" xr:uid="{00000000-0005-0000-0000-000077000000}"/>
    <cellStyle name="_ZTI_rozpočet_SO 05 interiér propočet" xfId="121" xr:uid="{00000000-0005-0000-0000-000078000000}"/>
    <cellStyle name="_ZTI_rozpočet_SO 05 střecha propočet" xfId="122" xr:uid="{00000000-0005-0000-0000-000079000000}"/>
    <cellStyle name="_ZTI_rozpočet_SO 05 vzduchové sanační úpravy propočet" xfId="123" xr:uid="{00000000-0005-0000-0000-00007A000000}"/>
    <cellStyle name="1" xfId="124" xr:uid="{00000000-0005-0000-0000-00007B000000}"/>
    <cellStyle name="1 000 Kč_ELEKTRO doplněné K PŘEDÁNÍ-  MŠ Přímětická" xfId="125" xr:uid="{00000000-0005-0000-0000-00007C000000}"/>
    <cellStyle name="1_002_08_4914_002_01_09_17_002Technicka_specifikace_2etapa" xfId="126" xr:uid="{00000000-0005-0000-0000-00007D000000}"/>
    <cellStyle name="1_09-13-zbytek" xfId="127" xr:uid="{00000000-0005-0000-0000-00007E000000}"/>
    <cellStyle name="1_09-17" xfId="128" xr:uid="{00000000-0005-0000-0000-00007F000000}"/>
    <cellStyle name="1_SO 05 interiér propočet" xfId="129" xr:uid="{00000000-0005-0000-0000-000080000000}"/>
    <cellStyle name="1_SO 05 střecha propočet" xfId="130" xr:uid="{00000000-0005-0000-0000-000081000000}"/>
    <cellStyle name="1_SO 05 vzduchové sanační úpravy propočet" xfId="131" xr:uid="{00000000-0005-0000-0000-000082000000}"/>
    <cellStyle name="20 % – Zvýraznění1 2" xfId="132" xr:uid="{00000000-0005-0000-0000-000083000000}"/>
    <cellStyle name="20 % – Zvýraznění2 2" xfId="133" xr:uid="{00000000-0005-0000-0000-000084000000}"/>
    <cellStyle name="20 % – Zvýraznění3 2" xfId="134" xr:uid="{00000000-0005-0000-0000-000085000000}"/>
    <cellStyle name="20 % – Zvýraznění4 2" xfId="135" xr:uid="{00000000-0005-0000-0000-000086000000}"/>
    <cellStyle name="20 % – Zvýraznění5 2" xfId="136" xr:uid="{00000000-0005-0000-0000-000087000000}"/>
    <cellStyle name="20 % – Zvýraznění6 2" xfId="137" xr:uid="{00000000-0005-0000-0000-000088000000}"/>
    <cellStyle name="40 % – Zvýraznění1 2" xfId="138" xr:uid="{00000000-0005-0000-0000-000089000000}"/>
    <cellStyle name="40 % – Zvýraznění2 2" xfId="139" xr:uid="{00000000-0005-0000-0000-00008A000000}"/>
    <cellStyle name="40 % – Zvýraznění3 2" xfId="140" xr:uid="{00000000-0005-0000-0000-00008B000000}"/>
    <cellStyle name="40 % – Zvýraznění4 2" xfId="141" xr:uid="{00000000-0005-0000-0000-00008C000000}"/>
    <cellStyle name="40 % – Zvýraznění5 2" xfId="142" xr:uid="{00000000-0005-0000-0000-00008D000000}"/>
    <cellStyle name="40 % – Zvýraznění6 2" xfId="143" xr:uid="{00000000-0005-0000-0000-00008E000000}"/>
    <cellStyle name="60 % – Zvýraznění1 2" xfId="144" xr:uid="{00000000-0005-0000-0000-00008F000000}"/>
    <cellStyle name="60 % – Zvýraznění2 2" xfId="145" xr:uid="{00000000-0005-0000-0000-000090000000}"/>
    <cellStyle name="60 % – Zvýraznění3 2" xfId="146" xr:uid="{00000000-0005-0000-0000-000091000000}"/>
    <cellStyle name="60 % – Zvýraznění4 2" xfId="147" xr:uid="{00000000-0005-0000-0000-000092000000}"/>
    <cellStyle name="60 % – Zvýraznění5 2" xfId="148" xr:uid="{00000000-0005-0000-0000-000093000000}"/>
    <cellStyle name="60 % – Zvýraznění6 2" xfId="149" xr:uid="{00000000-0005-0000-0000-000094000000}"/>
    <cellStyle name="cárkyd" xfId="150" xr:uid="{00000000-0005-0000-0000-000095000000}"/>
    <cellStyle name="cary" xfId="151" xr:uid="{00000000-0005-0000-0000-000096000000}"/>
    <cellStyle name="Celkem 2" xfId="152" xr:uid="{00000000-0005-0000-0000-000097000000}"/>
    <cellStyle name="čárky [0]_ELEKTRO doplněné K PŘEDÁNÍ-  MŠ Přímětická" xfId="153" xr:uid="{00000000-0005-0000-0000-000098000000}"/>
    <cellStyle name="čárky 2" xfId="154" xr:uid="{00000000-0005-0000-0000-000099000000}"/>
    <cellStyle name="čárky 3" xfId="155" xr:uid="{00000000-0005-0000-0000-00009A000000}"/>
    <cellStyle name="číslo" xfId="156" xr:uid="{00000000-0005-0000-0000-00009B000000}"/>
    <cellStyle name="Dezimal [0]_Tabelle1" xfId="157" xr:uid="{00000000-0005-0000-0000-00009C000000}"/>
    <cellStyle name="Dezimal_Tabelle1" xfId="158" xr:uid="{00000000-0005-0000-0000-00009D000000}"/>
    <cellStyle name="Dziesiętny [0]_laroux" xfId="159" xr:uid="{00000000-0005-0000-0000-00009E000000}"/>
    <cellStyle name="Dziesiętny_laroux" xfId="160" xr:uid="{00000000-0005-0000-0000-00009F000000}"/>
    <cellStyle name="Excel Built-in Normal" xfId="161" xr:uid="{00000000-0005-0000-0000-0000A0000000}"/>
    <cellStyle name="Firma" xfId="162" xr:uid="{00000000-0005-0000-0000-0000A1000000}"/>
    <cellStyle name="Hlavní nadpis" xfId="163" xr:uid="{00000000-0005-0000-0000-0000A2000000}"/>
    <cellStyle name="Jednotka" xfId="164" xr:uid="{00000000-0005-0000-0000-0000A3000000}"/>
    <cellStyle name="Kontrolní buňka 2" xfId="165" xr:uid="{00000000-0005-0000-0000-0000A4000000}"/>
    <cellStyle name="lehký dolní okraj" xfId="166" xr:uid="{00000000-0005-0000-0000-0000A5000000}"/>
    <cellStyle name="Měna" xfId="251" builtinId="4"/>
    <cellStyle name="Měna 2" xfId="167" xr:uid="{00000000-0005-0000-0000-0000A7000000}"/>
    <cellStyle name="Měna 2 2" xfId="168" xr:uid="{00000000-0005-0000-0000-0000A8000000}"/>
    <cellStyle name="měny 2" xfId="169" xr:uid="{00000000-0005-0000-0000-0000A9000000}"/>
    <cellStyle name="množství" xfId="170" xr:uid="{00000000-0005-0000-0000-0000AA000000}"/>
    <cellStyle name="Nadpis 1 2" xfId="171" xr:uid="{00000000-0005-0000-0000-0000AB000000}"/>
    <cellStyle name="Nadpis 2 2" xfId="172" xr:uid="{00000000-0005-0000-0000-0000AC000000}"/>
    <cellStyle name="Nadpis 3 2" xfId="173" xr:uid="{00000000-0005-0000-0000-0000AD000000}"/>
    <cellStyle name="Nadpis 4 2" xfId="174" xr:uid="{00000000-0005-0000-0000-0000AE000000}"/>
    <cellStyle name="Nadpis1" xfId="175" xr:uid="{00000000-0005-0000-0000-0000AF000000}"/>
    <cellStyle name="Nadpis1 1" xfId="176" xr:uid="{00000000-0005-0000-0000-0000B0000000}"/>
    <cellStyle name="Naklady" xfId="177" xr:uid="{00000000-0005-0000-0000-0000B1000000}"/>
    <cellStyle name="Název 2" xfId="178" xr:uid="{00000000-0005-0000-0000-0000B2000000}"/>
    <cellStyle name="Neutrální 2" xfId="179" xr:uid="{00000000-0005-0000-0000-0000B3000000}"/>
    <cellStyle name="Normální" xfId="0" builtinId="0"/>
    <cellStyle name="Normální 10" xfId="180" xr:uid="{00000000-0005-0000-0000-0000B5000000}"/>
    <cellStyle name="normální 11" xfId="181" xr:uid="{00000000-0005-0000-0000-0000B6000000}"/>
    <cellStyle name="normální 11 2" xfId="182" xr:uid="{00000000-0005-0000-0000-0000B7000000}"/>
    <cellStyle name="normální 12" xfId="183" xr:uid="{00000000-0005-0000-0000-0000B8000000}"/>
    <cellStyle name="normální 12 2" xfId="184" xr:uid="{00000000-0005-0000-0000-0000B9000000}"/>
    <cellStyle name="Normální 13" xfId="185" xr:uid="{00000000-0005-0000-0000-0000BA000000}"/>
    <cellStyle name="normální 13 2" xfId="186" xr:uid="{00000000-0005-0000-0000-0000BB000000}"/>
    <cellStyle name="Normální 14" xfId="187" xr:uid="{00000000-0005-0000-0000-0000BC000000}"/>
    <cellStyle name="normální 14 2" xfId="188" xr:uid="{00000000-0005-0000-0000-0000BD000000}"/>
    <cellStyle name="Normální 15" xfId="189" xr:uid="{00000000-0005-0000-0000-0000BE000000}"/>
    <cellStyle name="normální 15 2" xfId="190" xr:uid="{00000000-0005-0000-0000-0000BF000000}"/>
    <cellStyle name="normální 16" xfId="191" xr:uid="{00000000-0005-0000-0000-0000C0000000}"/>
    <cellStyle name="normální 17" xfId="192" xr:uid="{00000000-0005-0000-0000-0000C1000000}"/>
    <cellStyle name="normální 18" xfId="193" xr:uid="{00000000-0005-0000-0000-0000C2000000}"/>
    <cellStyle name="normální 19" xfId="194" xr:uid="{00000000-0005-0000-0000-0000C3000000}"/>
    <cellStyle name="normální 2" xfId="195" xr:uid="{00000000-0005-0000-0000-0000C4000000}"/>
    <cellStyle name="normální 2 2" xfId="196" xr:uid="{00000000-0005-0000-0000-0000C5000000}"/>
    <cellStyle name="normální 20" xfId="197" xr:uid="{00000000-0005-0000-0000-0000C6000000}"/>
    <cellStyle name="normální 21" xfId="198" xr:uid="{00000000-0005-0000-0000-0000C7000000}"/>
    <cellStyle name="normální 22" xfId="199" xr:uid="{00000000-0005-0000-0000-0000C8000000}"/>
    <cellStyle name="normální 23" xfId="200" xr:uid="{00000000-0005-0000-0000-0000C9000000}"/>
    <cellStyle name="normální 24" xfId="201" xr:uid="{00000000-0005-0000-0000-0000CA000000}"/>
    <cellStyle name="normální 25" xfId="202" xr:uid="{00000000-0005-0000-0000-0000CB000000}"/>
    <cellStyle name="normální 26" xfId="203" xr:uid="{00000000-0005-0000-0000-0000CC000000}"/>
    <cellStyle name="normální 27" xfId="204" xr:uid="{00000000-0005-0000-0000-0000CD000000}"/>
    <cellStyle name="normální 28" xfId="205" xr:uid="{00000000-0005-0000-0000-0000CE000000}"/>
    <cellStyle name="normální 29" xfId="206" xr:uid="{00000000-0005-0000-0000-0000CF000000}"/>
    <cellStyle name="Normální 3" xfId="207" xr:uid="{00000000-0005-0000-0000-0000D0000000}"/>
    <cellStyle name="normální 30" xfId="208" xr:uid="{00000000-0005-0000-0000-0000D1000000}"/>
    <cellStyle name="Normální 4" xfId="209" xr:uid="{00000000-0005-0000-0000-0000D2000000}"/>
    <cellStyle name="Normální 5" xfId="210" xr:uid="{00000000-0005-0000-0000-0000D3000000}"/>
    <cellStyle name="Normální 6" xfId="211" xr:uid="{00000000-0005-0000-0000-0000D4000000}"/>
    <cellStyle name="Normální 7" xfId="212" xr:uid="{00000000-0005-0000-0000-0000D5000000}"/>
    <cellStyle name="Normální 8" xfId="213" xr:uid="{00000000-0005-0000-0000-0000D6000000}"/>
    <cellStyle name="Normální 9" xfId="214" xr:uid="{00000000-0005-0000-0000-0000D7000000}"/>
    <cellStyle name="normální_002_ROZP_OCENENY_VV_upr08-2010" xfId="215" xr:uid="{00000000-0005-0000-0000-0000D8000000}"/>
    <cellStyle name="normální_C.1.3 Rozpočet ZTI" xfId="216" xr:uid="{00000000-0005-0000-0000-0000D9000000}"/>
    <cellStyle name="normální_POL.XLS" xfId="217" xr:uid="{00000000-0005-0000-0000-0000DA000000}"/>
    <cellStyle name="normální_SAR A" xfId="218" xr:uid="{00000000-0005-0000-0000-0000DB000000}"/>
    <cellStyle name="normální_Troja" xfId="219" xr:uid="{00000000-0005-0000-0000-0000DC000000}"/>
    <cellStyle name="Normalny_laroux" xfId="220" xr:uid="{00000000-0005-0000-0000-0000DD000000}"/>
    <cellStyle name="Podnadpis" xfId="221" xr:uid="{00000000-0005-0000-0000-0000DE000000}"/>
    <cellStyle name="Položka" xfId="222" xr:uid="{00000000-0005-0000-0000-0000DF000000}"/>
    <cellStyle name="Poznámka 2" xfId="223" xr:uid="{00000000-0005-0000-0000-0000E0000000}"/>
    <cellStyle name="Propojená buňka 2" xfId="224" xr:uid="{00000000-0005-0000-0000-0000E1000000}"/>
    <cellStyle name="Specifikace" xfId="225" xr:uid="{00000000-0005-0000-0000-0000E2000000}"/>
    <cellStyle name="Správně 2" xfId="226" xr:uid="{00000000-0005-0000-0000-0000E3000000}"/>
    <cellStyle name="Standard_aktuell" xfId="227" xr:uid="{00000000-0005-0000-0000-0000E4000000}"/>
    <cellStyle name="Stín+tučně" xfId="228" xr:uid="{00000000-0005-0000-0000-0000E5000000}"/>
    <cellStyle name="Stín+tučně+velké písmo" xfId="229" xr:uid="{00000000-0005-0000-0000-0000E6000000}"/>
    <cellStyle name="Styl 1" xfId="230" xr:uid="{00000000-0005-0000-0000-0000E7000000}"/>
    <cellStyle name="Suma" xfId="231" xr:uid="{00000000-0005-0000-0000-0000E8000000}"/>
    <cellStyle name="Text upozornění 2" xfId="232" xr:uid="{00000000-0005-0000-0000-0000E9000000}"/>
    <cellStyle name="Tučně" xfId="233" xr:uid="{00000000-0005-0000-0000-0000EA000000}"/>
    <cellStyle name="TYP ŘÁDKU_4(sloupceJ-L)" xfId="234" xr:uid="{00000000-0005-0000-0000-0000EB000000}"/>
    <cellStyle name="Vstup 2" xfId="235" xr:uid="{00000000-0005-0000-0000-0000EC000000}"/>
    <cellStyle name="Výpočet 2" xfId="236" xr:uid="{00000000-0005-0000-0000-0000ED000000}"/>
    <cellStyle name="Výstup 2" xfId="237" xr:uid="{00000000-0005-0000-0000-0000EE000000}"/>
    <cellStyle name="Vysvětlující text 2" xfId="238" xr:uid="{00000000-0005-0000-0000-0000EF000000}"/>
    <cellStyle name="Währung [0]_Tabelle1" xfId="239" xr:uid="{00000000-0005-0000-0000-0000F0000000}"/>
    <cellStyle name="Währung_Tabelle1" xfId="240" xr:uid="{00000000-0005-0000-0000-0000F1000000}"/>
    <cellStyle name="Walutowy [0]_laroux" xfId="241" xr:uid="{00000000-0005-0000-0000-0000F2000000}"/>
    <cellStyle name="Walutowy_laroux" xfId="242" xr:uid="{00000000-0005-0000-0000-0000F3000000}"/>
    <cellStyle name="základní" xfId="243" xr:uid="{00000000-0005-0000-0000-0000F4000000}"/>
    <cellStyle name="Zvýraznění 1 2" xfId="244" xr:uid="{00000000-0005-0000-0000-0000F5000000}"/>
    <cellStyle name="Zvýraznění 2 2" xfId="245" xr:uid="{00000000-0005-0000-0000-0000F6000000}"/>
    <cellStyle name="Zvýraznění 3 2" xfId="246" xr:uid="{00000000-0005-0000-0000-0000F7000000}"/>
    <cellStyle name="Zvýraznění 4 2" xfId="247" xr:uid="{00000000-0005-0000-0000-0000F8000000}"/>
    <cellStyle name="Zvýraznění 5 2" xfId="248" xr:uid="{00000000-0005-0000-0000-0000F9000000}"/>
    <cellStyle name="Zvýraznění 6 2" xfId="249" xr:uid="{00000000-0005-0000-0000-0000FA000000}"/>
    <cellStyle name="Zvýrazni" xfId="250" xr:uid="{00000000-0005-0000-0000-0000FB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etr Kovář" id="{80546672-6C98-4935-AAA2-C1303500077B}" userId="S::90514840@cuni.cz::57669bdd-0daf-419e-9ee8-9d7143b441f5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62" dT="2023-01-29T10:40:56.95" personId="{80546672-6C98-4935-AAA2-C1303500077B}" id="{6F1A42F3-5783-466C-98A0-9D5F50475A57}">
    <text>ks</text>
  </threadedComment>
  <threadedComment ref="F622" dT="2023-01-29T13:08:42.63" personId="{80546672-6C98-4935-AAA2-C1303500077B}" id="{DE74BDA8-812D-469E-BC12-DC8BFA6F990A}">
    <text>(504X0,1X2)</text>
  </threadedComment>
  <threadedComment ref="H793" dT="2023-01-29T18:47:01.31" personId="{80546672-6C98-4935-AAA2-C1303500077B}" id="{3771B61A-F7A9-4F9C-B242-7411336EF0FD}">
    <text>Zřejmě na dopočítaní částky rozpočtu, odlišná logika počítání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62" dT="2023-01-29T10:40:56.95" personId="{80546672-6C98-4935-AAA2-C1303500077B}" id="{69214C28-EF9A-4F60-B773-13EE96A41047}">
    <text>ks</text>
  </threadedComment>
  <threadedComment ref="F622" dT="2023-01-29T13:08:42.63" personId="{80546672-6C98-4935-AAA2-C1303500077B}" id="{7ABB6D69-19E4-4C19-A65E-532A7E328646}">
    <text>(504X0,1X2)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P1190"/>
  <sheetViews>
    <sheetView tabSelected="1" zoomScaleNormal="100" workbookViewId="0">
      <selection activeCell="F21" sqref="F20:F21"/>
    </sheetView>
  </sheetViews>
  <sheetFormatPr defaultColWidth="8.88671875" defaultRowHeight="14.4"/>
  <cols>
    <col min="1" max="1" width="3.44140625" style="25" customWidth="1"/>
    <col min="2" max="2" width="10.109375" style="26" customWidth="1"/>
    <col min="3" max="3" width="4.6640625" style="27" customWidth="1"/>
    <col min="4" max="4" width="38" style="35" customWidth="1"/>
    <col min="5" max="5" width="4.5546875" style="83" customWidth="1"/>
    <col min="6" max="6" width="9.21875" style="30" customWidth="1"/>
    <col min="7" max="7" width="14.109375" style="31" customWidth="1"/>
    <col min="8" max="8" width="12.109375" style="32" customWidth="1"/>
    <col min="9" max="9" width="5.77734375" style="33" customWidth="1"/>
    <col min="10" max="10" width="11" style="34" customWidth="1"/>
    <col min="11" max="11" width="21.33203125" style="35" customWidth="1"/>
    <col min="12" max="34" width="3.6640625" style="35" customWidth="1"/>
    <col min="35" max="35" width="10.33203125" style="35" customWidth="1"/>
    <col min="36" max="36" width="3.6640625" style="35" customWidth="1"/>
    <col min="37" max="37" width="12.6640625" style="35" customWidth="1"/>
    <col min="38" max="38" width="3.6640625" style="35" customWidth="1"/>
    <col min="39" max="39" width="5.33203125" style="35" customWidth="1"/>
    <col min="40" max="40" width="2" style="35" customWidth="1"/>
    <col min="41" max="41" width="1.6640625" style="35" customWidth="1"/>
    <col min="42" max="42" width="15.33203125" style="35" customWidth="1"/>
    <col min="43" max="43" width="13.6640625" style="35" customWidth="1"/>
    <col min="44" max="47" width="8.6640625" style="35" customWidth="1"/>
    <col min="48" max="16384" width="8.88671875" style="35"/>
  </cols>
  <sheetData>
    <row r="1" spans="2:43">
      <c r="D1" s="255" t="s">
        <v>1431</v>
      </c>
      <c r="AQ1" s="36"/>
    </row>
    <row r="2" spans="2:43">
      <c r="D2" s="28"/>
      <c r="AQ2" s="36"/>
    </row>
    <row r="3" spans="2:43">
      <c r="D3" s="28" t="s">
        <v>960</v>
      </c>
      <c r="AQ3" s="36"/>
    </row>
    <row r="4" spans="2:43">
      <c r="D4" s="28"/>
      <c r="F4" s="37"/>
      <c r="G4" s="38"/>
      <c r="H4" s="39"/>
      <c r="AQ4" s="36"/>
    </row>
    <row r="5" spans="2:43">
      <c r="D5" s="40" t="s">
        <v>0</v>
      </c>
      <c r="H5" s="39"/>
      <c r="AQ5" s="36"/>
    </row>
    <row r="6" spans="2:43">
      <c r="F6" s="38"/>
      <c r="G6" s="38"/>
      <c r="H6" s="39"/>
      <c r="AQ6" s="36"/>
    </row>
    <row r="7" spans="2:43" ht="24">
      <c r="D7" s="28" t="s">
        <v>1</v>
      </c>
      <c r="H7" s="41"/>
      <c r="I7" s="42"/>
      <c r="AQ7" s="36"/>
    </row>
    <row r="8" spans="2:43">
      <c r="D8" s="28"/>
      <c r="H8" s="39"/>
      <c r="AQ8" s="36"/>
    </row>
    <row r="9" spans="2:43" ht="15" customHeight="1">
      <c r="D9" s="43" t="s">
        <v>2</v>
      </c>
      <c r="H9" s="39"/>
      <c r="AQ9" s="36"/>
    </row>
    <row r="10" spans="2:43" ht="12">
      <c r="D10" s="43" t="s">
        <v>3</v>
      </c>
      <c r="H10" s="275"/>
      <c r="I10" s="275"/>
      <c r="AQ10" s="36"/>
    </row>
    <row r="11" spans="2:43" ht="18" customHeight="1">
      <c r="D11" s="43"/>
      <c r="AQ11" s="36"/>
    </row>
    <row r="12" spans="2:43">
      <c r="D12" s="43"/>
      <c r="AQ12" s="36"/>
    </row>
    <row r="13" spans="2:43">
      <c r="B13" s="44"/>
      <c r="C13" s="45"/>
      <c r="D13" s="46" t="s">
        <v>1361</v>
      </c>
      <c r="E13" s="257"/>
      <c r="F13" s="48"/>
      <c r="G13" s="49"/>
      <c r="H13" s="50"/>
      <c r="AQ13" s="36"/>
    </row>
    <row r="14" spans="2:43" ht="16.95" customHeight="1">
      <c r="B14" s="44"/>
      <c r="C14" s="45"/>
      <c r="D14" s="51" t="s">
        <v>4</v>
      </c>
      <c r="E14" s="257"/>
      <c r="F14" s="48"/>
      <c r="G14" s="49"/>
      <c r="H14" s="50"/>
      <c r="J14" s="52"/>
      <c r="AQ14" s="36"/>
    </row>
    <row r="15" spans="2:43">
      <c r="B15" s="44"/>
      <c r="C15" s="45"/>
      <c r="D15" s="53" t="s">
        <v>5</v>
      </c>
      <c r="E15" s="257" t="s">
        <v>6</v>
      </c>
      <c r="F15" s="48"/>
      <c r="G15" s="49"/>
      <c r="H15" s="39">
        <f>H44</f>
        <v>0</v>
      </c>
      <c r="AQ15" s="36"/>
    </row>
    <row r="16" spans="2:43">
      <c r="B16" s="44"/>
      <c r="C16" s="45"/>
      <c r="D16" s="54" t="s">
        <v>949</v>
      </c>
      <c r="E16" s="257" t="s">
        <v>6</v>
      </c>
      <c r="F16" s="48"/>
      <c r="G16" s="49"/>
      <c r="H16" s="39">
        <f>H86</f>
        <v>0</v>
      </c>
      <c r="AQ16" s="36"/>
    </row>
    <row r="17" spans="1:43" ht="15.6" customHeight="1">
      <c r="B17" s="44"/>
      <c r="C17" s="45"/>
      <c r="D17" s="54" t="s">
        <v>7</v>
      </c>
      <c r="E17" s="257" t="s">
        <v>6</v>
      </c>
      <c r="F17" s="48"/>
      <c r="G17" s="49"/>
      <c r="H17" s="39">
        <f>H102</f>
        <v>0</v>
      </c>
      <c r="AQ17" s="36"/>
    </row>
    <row r="18" spans="1:43">
      <c r="B18" s="44"/>
      <c r="C18" s="45"/>
      <c r="D18" s="54" t="s">
        <v>8</v>
      </c>
      <c r="E18" s="257" t="s">
        <v>6</v>
      </c>
      <c r="F18" s="48"/>
      <c r="G18" s="49"/>
      <c r="H18" s="39">
        <f>H600</f>
        <v>0</v>
      </c>
      <c r="AQ18" s="36"/>
    </row>
    <row r="19" spans="1:43">
      <c r="D19" s="55" t="s">
        <v>9</v>
      </c>
      <c r="E19" s="257" t="s">
        <v>6</v>
      </c>
      <c r="F19" s="56"/>
      <c r="G19" s="57"/>
      <c r="H19" s="39">
        <f>H763</f>
        <v>0</v>
      </c>
      <c r="AQ19" s="36"/>
    </row>
    <row r="20" spans="1:43">
      <c r="D20" s="55" t="s">
        <v>10</v>
      </c>
      <c r="E20" s="257" t="s">
        <v>6</v>
      </c>
      <c r="F20" s="56"/>
      <c r="G20" s="57"/>
      <c r="H20" s="39">
        <f>H783</f>
        <v>0</v>
      </c>
      <c r="AQ20" s="36"/>
    </row>
    <row r="21" spans="1:43">
      <c r="D21" s="55"/>
      <c r="E21" s="257"/>
      <c r="F21" s="56"/>
      <c r="G21" s="57"/>
      <c r="H21" s="39"/>
      <c r="AQ21" s="36"/>
    </row>
    <row r="22" spans="1:43">
      <c r="A22" s="58"/>
      <c r="B22" s="59"/>
      <c r="C22" s="60"/>
      <c r="D22" s="61" t="s">
        <v>1307</v>
      </c>
      <c r="E22" s="257" t="s">
        <v>6</v>
      </c>
      <c r="F22" s="62"/>
      <c r="G22" s="63"/>
      <c r="H22" s="39">
        <f>SUM(H15:H21)</f>
        <v>0</v>
      </c>
      <c r="AQ22" s="36"/>
    </row>
    <row r="23" spans="1:43">
      <c r="A23" s="58"/>
      <c r="B23" s="59"/>
      <c r="C23" s="60"/>
      <c r="D23" s="61"/>
      <c r="E23" s="272"/>
      <c r="F23" s="62"/>
      <c r="G23" s="63"/>
      <c r="H23" s="65"/>
      <c r="AQ23" s="36"/>
    </row>
    <row r="24" spans="1:43">
      <c r="A24" s="58"/>
      <c r="B24" s="59"/>
      <c r="C24" s="60"/>
      <c r="D24" s="66" t="s">
        <v>11</v>
      </c>
      <c r="E24" s="257" t="s">
        <v>6</v>
      </c>
      <c r="F24" s="62"/>
      <c r="G24" s="63"/>
      <c r="H24" s="39">
        <f>H787</f>
        <v>0</v>
      </c>
      <c r="AQ24" s="36"/>
    </row>
    <row r="25" spans="1:43">
      <c r="A25" s="58"/>
      <c r="B25" s="59"/>
      <c r="C25" s="60"/>
      <c r="D25" s="66"/>
      <c r="E25" s="257"/>
      <c r="F25" s="62"/>
      <c r="G25" s="63"/>
      <c r="H25" s="39"/>
      <c r="AQ25" s="36"/>
    </row>
    <row r="26" spans="1:43">
      <c r="A26" s="58"/>
      <c r="B26" s="59"/>
      <c r="C26" s="60"/>
      <c r="D26" s="67"/>
      <c r="E26" s="272"/>
      <c r="F26" s="62"/>
      <c r="G26" s="63"/>
      <c r="H26" s="65"/>
      <c r="AQ26" s="36"/>
    </row>
    <row r="27" spans="1:43">
      <c r="A27" s="58"/>
      <c r="B27" s="59"/>
      <c r="C27" s="60"/>
      <c r="D27" s="61" t="s">
        <v>12</v>
      </c>
      <c r="E27" s="257" t="s">
        <v>6</v>
      </c>
      <c r="F27" s="68"/>
      <c r="G27" s="69"/>
      <c r="H27" s="39">
        <f>SUM(H22:H24)</f>
        <v>0</v>
      </c>
      <c r="AQ27" s="36"/>
    </row>
    <row r="28" spans="1:43">
      <c r="A28" s="58"/>
      <c r="B28" s="59"/>
      <c r="C28" s="60"/>
      <c r="D28" s="67"/>
      <c r="E28" s="272"/>
      <c r="F28" s="62"/>
      <c r="G28" s="63"/>
      <c r="H28" s="65"/>
      <c r="AQ28" s="36"/>
    </row>
    <row r="29" spans="1:43">
      <c r="A29" s="58"/>
      <c r="B29" s="59"/>
      <c r="C29" s="60"/>
      <c r="D29" s="70" t="s">
        <v>13</v>
      </c>
      <c r="E29" s="257" t="s">
        <v>6</v>
      </c>
      <c r="F29" s="62"/>
      <c r="G29" s="63"/>
      <c r="H29" s="65">
        <f>H27*0.21</f>
        <v>0</v>
      </c>
      <c r="AQ29" s="36"/>
    </row>
    <row r="30" spans="1:43">
      <c r="A30" s="58"/>
      <c r="B30" s="59"/>
      <c r="C30" s="60"/>
      <c r="D30" s="55"/>
      <c r="E30" s="272"/>
      <c r="F30" s="62"/>
      <c r="G30" s="63"/>
      <c r="H30" s="65"/>
      <c r="AQ30" s="36"/>
    </row>
    <row r="31" spans="1:43">
      <c r="D31" s="61" t="s">
        <v>14</v>
      </c>
      <c r="E31" s="257" t="s">
        <v>6</v>
      </c>
      <c r="H31" s="39">
        <f>ROUND((SUM(H27:H30)),2)</f>
        <v>0</v>
      </c>
      <c r="AQ31" s="36"/>
    </row>
    <row r="32" spans="1:43">
      <c r="D32" s="61"/>
      <c r="H32" s="39"/>
      <c r="AQ32" s="36"/>
    </row>
    <row r="33" spans="1:250">
      <c r="D33" s="61"/>
      <c r="H33" s="39"/>
      <c r="AQ33" s="36"/>
    </row>
    <row r="34" spans="1:250">
      <c r="A34" s="58"/>
      <c r="B34" s="59"/>
      <c r="C34" s="60"/>
      <c r="D34" s="55"/>
      <c r="E34" s="272"/>
      <c r="F34" s="62"/>
      <c r="G34" s="63"/>
      <c r="H34" s="71"/>
      <c r="AQ34" s="36"/>
    </row>
    <row r="35" spans="1:250">
      <c r="A35" s="72" t="s">
        <v>15</v>
      </c>
      <c r="B35" s="73" t="s">
        <v>16</v>
      </c>
      <c r="C35" s="74"/>
      <c r="D35" s="75" t="s">
        <v>17</v>
      </c>
      <c r="E35" s="76" t="s">
        <v>18</v>
      </c>
      <c r="F35" s="77" t="s">
        <v>19</v>
      </c>
      <c r="G35" s="77" t="s">
        <v>20</v>
      </c>
      <c r="H35" s="78" t="s">
        <v>21</v>
      </c>
      <c r="J35" s="79"/>
      <c r="K35" s="80"/>
      <c r="L35" s="81"/>
      <c r="M35" s="82"/>
      <c r="N35" s="83"/>
      <c r="O35" s="43"/>
      <c r="P35" s="83"/>
      <c r="Q35" s="84"/>
      <c r="R35" s="84"/>
      <c r="S35" s="80"/>
      <c r="T35" s="81"/>
      <c r="U35" s="82"/>
      <c r="V35" s="83"/>
      <c r="W35" s="43"/>
      <c r="X35" s="83"/>
      <c r="Y35" s="84"/>
      <c r="Z35" s="84"/>
      <c r="AA35" s="80"/>
      <c r="AB35" s="81"/>
      <c r="AC35" s="82"/>
      <c r="AD35" s="83"/>
      <c r="AE35" s="43"/>
      <c r="AF35" s="83"/>
      <c r="AG35" s="84"/>
      <c r="AH35" s="84"/>
      <c r="AI35" s="80"/>
      <c r="AJ35" s="81"/>
      <c r="AK35" s="82"/>
      <c r="AL35" s="83"/>
      <c r="AM35" s="43"/>
      <c r="AN35" s="83"/>
      <c r="AO35" s="84"/>
      <c r="AP35" s="84"/>
      <c r="AQ35" s="80"/>
      <c r="AR35" s="81"/>
      <c r="AS35" s="82"/>
      <c r="AT35" s="83"/>
      <c r="AU35" s="43"/>
      <c r="AV35" s="83"/>
      <c r="AW35" s="84"/>
      <c r="AX35" s="84"/>
      <c r="AY35" s="80"/>
      <c r="AZ35" s="81"/>
      <c r="BA35" s="82"/>
      <c r="BB35" s="83"/>
      <c r="BC35" s="43"/>
      <c r="BD35" s="83"/>
      <c r="BE35" s="84"/>
      <c r="BF35" s="84"/>
      <c r="BG35" s="80"/>
      <c r="BH35" s="81"/>
      <c r="BI35" s="82"/>
      <c r="BJ35" s="83"/>
      <c r="BK35" s="43"/>
      <c r="BL35" s="83"/>
      <c r="BM35" s="84"/>
      <c r="BN35" s="84"/>
      <c r="BO35" s="80"/>
      <c r="BP35" s="81"/>
      <c r="BQ35" s="82"/>
      <c r="BR35" s="83"/>
      <c r="BS35" s="43"/>
      <c r="BT35" s="83"/>
      <c r="BU35" s="84"/>
      <c r="BV35" s="84"/>
      <c r="BW35" s="80"/>
      <c r="BX35" s="81"/>
      <c r="BY35" s="82"/>
      <c r="BZ35" s="83"/>
      <c r="CA35" s="43"/>
      <c r="CB35" s="83"/>
      <c r="CC35" s="84"/>
      <c r="CD35" s="84"/>
      <c r="CE35" s="80"/>
      <c r="CF35" s="81"/>
      <c r="CG35" s="82"/>
      <c r="CH35" s="83"/>
      <c r="CI35" s="43"/>
      <c r="CJ35" s="83"/>
      <c r="CK35" s="84"/>
      <c r="CL35" s="84"/>
      <c r="CM35" s="80"/>
      <c r="CN35" s="81"/>
      <c r="CO35" s="82"/>
      <c r="CP35" s="83"/>
      <c r="CQ35" s="43"/>
      <c r="CR35" s="83"/>
      <c r="CS35" s="84"/>
      <c r="CT35" s="84"/>
      <c r="CU35" s="80"/>
      <c r="CV35" s="81"/>
      <c r="CW35" s="82"/>
      <c r="CX35" s="83"/>
      <c r="CY35" s="43"/>
      <c r="CZ35" s="83"/>
      <c r="DA35" s="84"/>
      <c r="DB35" s="84"/>
      <c r="DC35" s="80"/>
      <c r="DD35" s="81"/>
      <c r="DE35" s="82"/>
      <c r="DF35" s="83"/>
      <c r="DG35" s="43"/>
      <c r="DH35" s="83"/>
      <c r="DI35" s="84"/>
      <c r="DJ35" s="84"/>
      <c r="DK35" s="80"/>
      <c r="DL35" s="81"/>
      <c r="DM35" s="82"/>
      <c r="DN35" s="83"/>
      <c r="DO35" s="43"/>
      <c r="DP35" s="83"/>
      <c r="DQ35" s="84"/>
      <c r="DR35" s="84"/>
      <c r="DS35" s="80"/>
      <c r="DT35" s="81"/>
      <c r="DU35" s="82"/>
      <c r="DV35" s="83"/>
      <c r="DW35" s="43"/>
      <c r="DX35" s="83"/>
      <c r="DY35" s="84"/>
      <c r="DZ35" s="84"/>
      <c r="EA35" s="80"/>
      <c r="EB35" s="81"/>
      <c r="EC35" s="82"/>
      <c r="ED35" s="83"/>
      <c r="EE35" s="43"/>
      <c r="EF35" s="83"/>
      <c r="EG35" s="84"/>
      <c r="EH35" s="84"/>
      <c r="EI35" s="80"/>
      <c r="EJ35" s="81"/>
      <c r="EK35" s="82"/>
      <c r="EL35" s="83"/>
      <c r="EM35" s="43"/>
      <c r="EN35" s="83"/>
      <c r="EO35" s="84"/>
      <c r="EP35" s="84"/>
      <c r="EQ35" s="80"/>
      <c r="ER35" s="81"/>
      <c r="ES35" s="82"/>
      <c r="ET35" s="83"/>
      <c r="EU35" s="43"/>
      <c r="EV35" s="83"/>
      <c r="EW35" s="84"/>
      <c r="EX35" s="84"/>
      <c r="EY35" s="80"/>
      <c r="EZ35" s="81"/>
      <c r="FA35" s="82"/>
      <c r="FB35" s="83"/>
      <c r="FC35" s="43"/>
      <c r="FD35" s="83"/>
      <c r="FE35" s="84"/>
      <c r="FF35" s="84"/>
      <c r="FG35" s="80"/>
      <c r="FH35" s="81"/>
      <c r="FI35" s="82"/>
      <c r="FJ35" s="83"/>
      <c r="FK35" s="43"/>
      <c r="FL35" s="83"/>
      <c r="FM35" s="84"/>
      <c r="FN35" s="84"/>
      <c r="FO35" s="80"/>
      <c r="FP35" s="81"/>
      <c r="FQ35" s="82"/>
      <c r="FR35" s="83"/>
      <c r="FS35" s="43"/>
      <c r="FT35" s="83"/>
      <c r="FU35" s="84"/>
      <c r="FV35" s="84"/>
      <c r="FW35" s="80"/>
      <c r="FX35" s="81"/>
      <c r="FY35" s="82"/>
      <c r="FZ35" s="83"/>
      <c r="GA35" s="43"/>
      <c r="GB35" s="83"/>
      <c r="GC35" s="84"/>
      <c r="GD35" s="84"/>
      <c r="GE35" s="80"/>
      <c r="GF35" s="81"/>
      <c r="GG35" s="82"/>
      <c r="GH35" s="83"/>
      <c r="GI35" s="43"/>
      <c r="GJ35" s="83"/>
      <c r="GK35" s="84"/>
      <c r="GL35" s="84"/>
      <c r="GM35" s="80"/>
      <c r="GN35" s="81"/>
      <c r="GO35" s="82"/>
      <c r="GP35" s="83"/>
      <c r="GQ35" s="43"/>
      <c r="GR35" s="83"/>
      <c r="GS35" s="84"/>
      <c r="GT35" s="84"/>
      <c r="GU35" s="80"/>
      <c r="GV35" s="81"/>
      <c r="GW35" s="82"/>
      <c r="GX35" s="83"/>
      <c r="GY35" s="43"/>
      <c r="GZ35" s="83"/>
      <c r="HA35" s="84"/>
      <c r="HB35" s="84"/>
      <c r="HC35" s="80"/>
      <c r="HD35" s="81"/>
      <c r="HE35" s="82"/>
      <c r="HF35" s="83"/>
      <c r="HG35" s="43"/>
      <c r="HH35" s="83"/>
      <c r="HI35" s="84"/>
      <c r="HJ35" s="84"/>
      <c r="HK35" s="80"/>
      <c r="HL35" s="81"/>
      <c r="HM35" s="82"/>
      <c r="HN35" s="83"/>
      <c r="HO35" s="43"/>
      <c r="HP35" s="83"/>
      <c r="HQ35" s="84"/>
      <c r="HR35" s="84"/>
      <c r="HS35" s="80"/>
      <c r="HT35" s="81"/>
      <c r="HU35" s="82"/>
      <c r="HV35" s="83"/>
      <c r="HW35" s="43"/>
      <c r="HX35" s="83"/>
      <c r="HY35" s="84"/>
      <c r="HZ35" s="84"/>
      <c r="IA35" s="80"/>
      <c r="IB35" s="81"/>
      <c r="IC35" s="82"/>
      <c r="ID35" s="83"/>
      <c r="IE35" s="43"/>
      <c r="IF35" s="83"/>
      <c r="IG35" s="84"/>
      <c r="IH35" s="84"/>
      <c r="II35" s="80"/>
      <c r="IJ35" s="81"/>
      <c r="IK35" s="82"/>
      <c r="IL35" s="83"/>
      <c r="IM35" s="43"/>
      <c r="IN35" s="83"/>
      <c r="IO35" s="84"/>
      <c r="IP35" s="84"/>
    </row>
    <row r="36" spans="1:250">
      <c r="A36" s="58" t="s">
        <v>1326</v>
      </c>
      <c r="B36" s="59"/>
      <c r="C36" s="60"/>
      <c r="D36" s="55" t="s">
        <v>26</v>
      </c>
      <c r="E36" s="272"/>
      <c r="F36" s="62"/>
      <c r="G36" s="63"/>
      <c r="H36" s="71"/>
      <c r="AQ36" s="36"/>
    </row>
    <row r="37" spans="1:250" ht="48.6">
      <c r="A37" s="58" t="s">
        <v>22</v>
      </c>
      <c r="B37" s="59"/>
      <c r="C37" s="60"/>
      <c r="D37" s="85" t="s">
        <v>1353</v>
      </c>
      <c r="E37" s="272"/>
      <c r="F37" s="62"/>
      <c r="G37" s="63"/>
      <c r="H37" s="71"/>
      <c r="AQ37" s="36"/>
    </row>
    <row r="38" spans="1:250" ht="48">
      <c r="A38" s="58" t="s">
        <v>23</v>
      </c>
      <c r="B38" s="59"/>
      <c r="C38" s="60"/>
      <c r="D38" s="86" t="s">
        <v>1434</v>
      </c>
      <c r="E38" s="272"/>
      <c r="F38" s="62"/>
      <c r="G38" s="63"/>
      <c r="H38" s="71"/>
      <c r="AQ38" s="36"/>
    </row>
    <row r="39" spans="1:250">
      <c r="A39" s="58" t="s">
        <v>24</v>
      </c>
      <c r="B39" s="59"/>
      <c r="C39" s="60"/>
      <c r="D39" s="55" t="s">
        <v>1355</v>
      </c>
      <c r="E39" s="272"/>
      <c r="F39" s="62"/>
      <c r="G39" s="63"/>
      <c r="H39" s="71"/>
      <c r="AQ39" s="36"/>
    </row>
    <row r="40" spans="1:250" ht="72.599999999999994">
      <c r="A40" s="58" t="s">
        <v>25</v>
      </c>
      <c r="B40" s="59"/>
      <c r="C40" s="60"/>
      <c r="D40" s="35" t="s">
        <v>1356</v>
      </c>
      <c r="E40" s="272"/>
      <c r="F40" s="62"/>
      <c r="G40" s="63"/>
      <c r="H40" s="71"/>
      <c r="AQ40" s="36"/>
    </row>
    <row r="41" spans="1:250" ht="24.6">
      <c r="A41" s="58" t="s">
        <v>27</v>
      </c>
      <c r="B41" s="59"/>
      <c r="C41" s="60"/>
      <c r="D41" s="85" t="s">
        <v>1357</v>
      </c>
      <c r="E41" s="272"/>
      <c r="F41" s="62"/>
      <c r="G41" s="63"/>
      <c r="H41" s="71"/>
      <c r="AQ41" s="36"/>
    </row>
    <row r="42" spans="1:250">
      <c r="A42" s="58" t="s">
        <v>28</v>
      </c>
      <c r="B42" s="44"/>
      <c r="C42" s="45"/>
      <c r="E42" s="257"/>
      <c r="F42" s="48"/>
      <c r="G42" s="49"/>
      <c r="H42" s="50"/>
      <c r="AQ42" s="36"/>
    </row>
    <row r="43" spans="1:250">
      <c r="A43" s="58" t="s">
        <v>29</v>
      </c>
      <c r="B43" s="44"/>
      <c r="C43" s="45"/>
      <c r="E43" s="257"/>
      <c r="F43" s="48"/>
      <c r="G43" s="49"/>
      <c r="H43" s="50"/>
      <c r="AQ43" s="36"/>
    </row>
    <row r="44" spans="1:250" ht="24.6">
      <c r="A44" s="58" t="s">
        <v>30</v>
      </c>
      <c r="B44" s="44"/>
      <c r="C44" s="45"/>
      <c r="D44" s="46" t="s">
        <v>946</v>
      </c>
      <c r="E44" s="258" t="s">
        <v>37</v>
      </c>
      <c r="F44" s="88" t="s">
        <v>38</v>
      </c>
      <c r="G44" s="49"/>
      <c r="H44" s="253">
        <f>SUM(H47:H84)</f>
        <v>0</v>
      </c>
      <c r="AQ44" s="36"/>
    </row>
    <row r="45" spans="1:250">
      <c r="A45" s="58" t="s">
        <v>31</v>
      </c>
      <c r="B45" s="44"/>
      <c r="C45" s="45"/>
      <c r="D45" s="90"/>
      <c r="E45" s="258"/>
      <c r="F45" s="88"/>
      <c r="G45" s="49"/>
      <c r="H45" s="89"/>
      <c r="AQ45" s="36"/>
    </row>
    <row r="46" spans="1:250" ht="72.599999999999994">
      <c r="A46" s="58" t="s">
        <v>32</v>
      </c>
      <c r="B46" s="44" t="s">
        <v>1362</v>
      </c>
      <c r="C46" s="45"/>
      <c r="D46" s="54" t="s">
        <v>1363</v>
      </c>
      <c r="E46" s="258"/>
      <c r="F46" s="88"/>
      <c r="G46" s="49"/>
      <c r="H46" s="89"/>
      <c r="AQ46" s="36"/>
    </row>
    <row r="47" spans="1:250">
      <c r="A47" s="58" t="s">
        <v>33</v>
      </c>
      <c r="B47" s="44"/>
      <c r="C47" s="45"/>
      <c r="D47" s="54" t="s">
        <v>1308</v>
      </c>
      <c r="E47" s="257" t="s">
        <v>41</v>
      </c>
      <c r="F47" s="48">
        <f>410*1*1.2</f>
        <v>492</v>
      </c>
      <c r="G47" s="49"/>
      <c r="H47" s="50">
        <f>ROUND((F47*G47),2)</f>
        <v>0</v>
      </c>
      <c r="AQ47" s="36"/>
    </row>
    <row r="48" spans="1:250" ht="24.6">
      <c r="A48" s="58" t="s">
        <v>34</v>
      </c>
      <c r="B48" s="44"/>
      <c r="C48" s="45"/>
      <c r="D48" s="54" t="s">
        <v>1137</v>
      </c>
      <c r="E48" s="257" t="s">
        <v>41</v>
      </c>
      <c r="F48" s="48">
        <f>2*2 +(2+2)*2*1.5</f>
        <v>16</v>
      </c>
      <c r="G48" s="49"/>
      <c r="H48" s="50">
        <f>ROUND((F48*G48),2)</f>
        <v>0</v>
      </c>
      <c r="AQ48" s="36"/>
    </row>
    <row r="49" spans="1:43">
      <c r="A49" s="58" t="s">
        <v>35</v>
      </c>
      <c r="B49" s="44">
        <v>998011014</v>
      </c>
      <c r="C49" s="45"/>
      <c r="D49" s="54" t="s">
        <v>1364</v>
      </c>
      <c r="E49" s="257"/>
      <c r="F49" s="48"/>
      <c r="G49" s="49"/>
      <c r="H49" s="50"/>
      <c r="AQ49" s="36"/>
    </row>
    <row r="50" spans="1:43">
      <c r="A50" s="58" t="s">
        <v>36</v>
      </c>
      <c r="B50" s="44"/>
      <c r="C50" s="45"/>
      <c r="D50" s="54" t="s">
        <v>1309</v>
      </c>
      <c r="E50" s="257" t="s">
        <v>117</v>
      </c>
      <c r="F50" s="48">
        <f>(492)*0.0114</f>
        <v>5.6088000000000005</v>
      </c>
      <c r="G50" s="49"/>
      <c r="H50" s="50">
        <f>ROUND((F50*G50),2)</f>
        <v>0</v>
      </c>
      <c r="AQ50" s="36"/>
    </row>
    <row r="51" spans="1:43">
      <c r="A51" s="58" t="s">
        <v>39</v>
      </c>
      <c r="B51" s="44"/>
      <c r="C51" s="45"/>
      <c r="D51" s="54"/>
      <c r="E51" s="257"/>
      <c r="F51" s="48"/>
      <c r="G51" s="49"/>
      <c r="H51" s="50"/>
      <c r="AQ51" s="36"/>
    </row>
    <row r="52" spans="1:43" ht="48.6">
      <c r="A52" s="58" t="s">
        <v>40</v>
      </c>
      <c r="B52" s="44" t="s">
        <v>1310</v>
      </c>
      <c r="C52" s="45"/>
      <c r="D52" s="54" t="s">
        <v>1365</v>
      </c>
      <c r="E52" s="258"/>
      <c r="F52" s="88"/>
      <c r="G52" s="49"/>
      <c r="H52" s="50"/>
      <c r="AQ52" s="36"/>
    </row>
    <row r="53" spans="1:43">
      <c r="A53" s="58" t="s">
        <v>42</v>
      </c>
      <c r="B53" s="44"/>
      <c r="C53" s="45"/>
      <c r="D53" s="54" t="s">
        <v>1319</v>
      </c>
      <c r="E53" s="257" t="s">
        <v>41</v>
      </c>
      <c r="F53" s="48">
        <f>1.5*1.5*410</f>
        <v>922.5</v>
      </c>
      <c r="G53" s="49"/>
      <c r="H53" s="50">
        <f>ROUND((F53*G53),2)</f>
        <v>0</v>
      </c>
      <c r="AQ53" s="36"/>
    </row>
    <row r="54" spans="1:43">
      <c r="A54" s="58" t="s">
        <v>44</v>
      </c>
      <c r="B54" s="44"/>
      <c r="C54" s="45"/>
      <c r="D54" s="91"/>
      <c r="E54" s="257"/>
      <c r="F54" s="48"/>
      <c r="G54" s="49"/>
      <c r="H54" s="50"/>
      <c r="AQ54" s="36"/>
    </row>
    <row r="55" spans="1:43">
      <c r="A55" s="58" t="s">
        <v>45</v>
      </c>
      <c r="B55" s="44">
        <v>735494811</v>
      </c>
      <c r="C55" s="45"/>
      <c r="D55" s="92" t="s">
        <v>48</v>
      </c>
      <c r="E55" s="257" t="s">
        <v>41</v>
      </c>
      <c r="F55" s="88">
        <f>SUM(F56:F63)</f>
        <v>1930.2349999999999</v>
      </c>
      <c r="G55" s="49"/>
      <c r="H55" s="50">
        <f>ROUND((F55*G55),2)</f>
        <v>0</v>
      </c>
      <c r="J55" s="93"/>
      <c r="AQ55" s="36"/>
    </row>
    <row r="56" spans="1:43">
      <c r="A56" s="58" t="s">
        <v>43</v>
      </c>
      <c r="B56" s="44"/>
      <c r="C56" s="45"/>
      <c r="D56" s="94" t="s">
        <v>1312</v>
      </c>
      <c r="E56" s="258"/>
      <c r="F56" s="95">
        <f>F143</f>
        <v>596.61499999999978</v>
      </c>
      <c r="G56" s="49"/>
      <c r="H56" s="50"/>
      <c r="AQ56" s="36"/>
    </row>
    <row r="57" spans="1:43">
      <c r="A57" s="58" t="s">
        <v>46</v>
      </c>
      <c r="B57" s="44"/>
      <c r="C57" s="45"/>
      <c r="D57" s="94" t="s">
        <v>1313</v>
      </c>
      <c r="E57" s="257"/>
      <c r="F57" s="48">
        <f>F256</f>
        <v>430.78999999999991</v>
      </c>
      <c r="G57" s="49"/>
      <c r="AQ57" s="36"/>
    </row>
    <row r="58" spans="1:43">
      <c r="A58" s="58" t="s">
        <v>47</v>
      </c>
      <c r="B58" s="44"/>
      <c r="C58" s="45"/>
      <c r="D58" s="94" t="s">
        <v>1138</v>
      </c>
      <c r="E58" s="257"/>
      <c r="F58" s="48">
        <f>F356</f>
        <v>174.25</v>
      </c>
      <c r="G58" s="49"/>
      <c r="H58" s="50"/>
      <c r="AQ58" s="36"/>
    </row>
    <row r="59" spans="1:43">
      <c r="A59" s="58" t="s">
        <v>49</v>
      </c>
      <c r="B59" s="44"/>
      <c r="C59" s="45"/>
      <c r="D59" s="94" t="s">
        <v>1139</v>
      </c>
      <c r="E59" s="257"/>
      <c r="F59" s="48">
        <f>F389</f>
        <v>124.43000000000002</v>
      </c>
      <c r="G59" s="49"/>
      <c r="H59" s="50"/>
      <c r="AQ59" s="36"/>
    </row>
    <row r="60" spans="1:43">
      <c r="A60" s="58" t="s">
        <v>50</v>
      </c>
      <c r="B60" s="44"/>
      <c r="C60" s="45"/>
      <c r="D60" s="94" t="s">
        <v>1140</v>
      </c>
      <c r="E60" s="257"/>
      <c r="F60" s="48">
        <f>F419</f>
        <v>223.32500000000005</v>
      </c>
      <c r="G60" s="49"/>
      <c r="H60" s="50"/>
      <c r="AQ60" s="36"/>
    </row>
    <row r="61" spans="1:43">
      <c r="A61" s="58" t="s">
        <v>51</v>
      </c>
      <c r="B61" s="44"/>
      <c r="C61" s="45"/>
      <c r="D61" s="94" t="s">
        <v>1141</v>
      </c>
      <c r="E61" s="257"/>
      <c r="F61" s="48">
        <f>F465</f>
        <v>174.63499999999996</v>
      </c>
      <c r="G61" s="49"/>
      <c r="H61" s="50"/>
      <c r="AQ61" s="36"/>
    </row>
    <row r="62" spans="1:43">
      <c r="A62" s="58" t="s">
        <v>52</v>
      </c>
      <c r="B62" s="44"/>
      <c r="C62" s="45"/>
      <c r="D62" s="94" t="s">
        <v>1142</v>
      </c>
      <c r="E62" s="257"/>
      <c r="F62" s="48">
        <f>F529</f>
        <v>135.53500000000003</v>
      </c>
      <c r="G62" s="49"/>
      <c r="H62" s="50"/>
      <c r="AQ62" s="36"/>
    </row>
    <row r="63" spans="1:43">
      <c r="A63" s="58" t="s">
        <v>53</v>
      </c>
      <c r="B63" s="44"/>
      <c r="C63" s="45"/>
      <c r="D63" s="94" t="s">
        <v>1143</v>
      </c>
      <c r="E63" s="257"/>
      <c r="F63" s="48">
        <f>F566</f>
        <v>70.655000000000001</v>
      </c>
      <c r="G63" s="49"/>
      <c r="H63" s="50"/>
      <c r="AQ63" s="36"/>
    </row>
    <row r="64" spans="1:43">
      <c r="A64" s="58" t="s">
        <v>54</v>
      </c>
      <c r="B64" s="44"/>
      <c r="C64" s="45"/>
      <c r="D64" s="85"/>
      <c r="E64" s="257"/>
      <c r="F64" s="48"/>
      <c r="G64" s="49"/>
      <c r="H64" s="50"/>
      <c r="AQ64" s="36"/>
    </row>
    <row r="65" spans="1:43" ht="27.6">
      <c r="A65" s="58" t="s">
        <v>55</v>
      </c>
      <c r="B65" s="44">
        <v>735494811</v>
      </c>
      <c r="C65" s="45"/>
      <c r="D65" s="96" t="s">
        <v>57</v>
      </c>
      <c r="E65" s="257" t="s">
        <v>41</v>
      </c>
      <c r="F65" s="97">
        <f>SUM(F66:F71)</f>
        <v>112.41199999999998</v>
      </c>
      <c r="G65" s="49"/>
      <c r="H65" s="50">
        <f>ROUND((F65*G65),2)</f>
        <v>0</v>
      </c>
      <c r="J65" s="93"/>
      <c r="AQ65" s="36"/>
    </row>
    <row r="66" spans="1:43">
      <c r="A66" s="58" t="s">
        <v>56</v>
      </c>
      <c r="B66" s="44"/>
      <c r="C66" s="45"/>
      <c r="D66" s="94" t="s">
        <v>59</v>
      </c>
      <c r="E66" s="257"/>
      <c r="F66" s="98">
        <f>90*0.0628</f>
        <v>5.6519999999999992</v>
      </c>
      <c r="G66" s="49"/>
      <c r="H66" s="50"/>
      <c r="AQ66" s="36"/>
    </row>
    <row r="67" spans="1:43">
      <c r="A67" s="58" t="s">
        <v>58</v>
      </c>
      <c r="B67" s="44"/>
      <c r="C67" s="45"/>
      <c r="D67" s="94" t="s">
        <v>61</v>
      </c>
      <c r="E67" s="257"/>
      <c r="F67" s="98">
        <f>495*0.0628</f>
        <v>31.085999999999999</v>
      </c>
      <c r="G67" s="49"/>
      <c r="H67" s="50"/>
      <c r="AQ67" s="36"/>
    </row>
    <row r="68" spans="1:43">
      <c r="A68" s="58" t="s">
        <v>60</v>
      </c>
      <c r="B68" s="44"/>
      <c r="C68" s="45"/>
      <c r="D68" s="94" t="s">
        <v>63</v>
      </c>
      <c r="E68" s="257"/>
      <c r="F68" s="98">
        <f>358*0.0628</f>
        <v>22.482399999999998</v>
      </c>
      <c r="G68" s="49"/>
      <c r="H68" s="50"/>
      <c r="AQ68" s="36"/>
    </row>
    <row r="69" spans="1:43">
      <c r="A69" s="58" t="s">
        <v>62</v>
      </c>
      <c r="B69" s="44"/>
      <c r="C69" s="45"/>
      <c r="D69" s="94" t="s">
        <v>65</v>
      </c>
      <c r="E69" s="257"/>
      <c r="F69" s="98">
        <f>320*0.0628</f>
        <v>20.095999999999997</v>
      </c>
      <c r="G69" s="49"/>
      <c r="H69" s="50"/>
      <c r="AQ69" s="36"/>
    </row>
    <row r="70" spans="1:43">
      <c r="A70" s="58" t="s">
        <v>64</v>
      </c>
      <c r="B70" s="44"/>
      <c r="C70" s="45"/>
      <c r="D70" s="94" t="s">
        <v>67</v>
      </c>
      <c r="E70" s="257"/>
      <c r="F70" s="98">
        <f>298*0.0628</f>
        <v>18.714399999999998</v>
      </c>
      <c r="G70" s="49"/>
      <c r="H70" s="50"/>
      <c r="AQ70" s="36"/>
    </row>
    <row r="71" spans="1:43">
      <c r="A71" s="58" t="s">
        <v>66</v>
      </c>
      <c r="B71" s="44"/>
      <c r="C71" s="45"/>
      <c r="D71" s="94" t="s">
        <v>69</v>
      </c>
      <c r="E71" s="257"/>
      <c r="F71" s="98">
        <f>229*0.0628</f>
        <v>14.381199999999998</v>
      </c>
      <c r="G71" s="49"/>
      <c r="H71" s="50"/>
      <c r="AQ71" s="36"/>
    </row>
    <row r="72" spans="1:43">
      <c r="A72" s="58" t="s">
        <v>68</v>
      </c>
      <c r="B72" s="44"/>
      <c r="C72" s="45"/>
      <c r="D72" s="94"/>
      <c r="E72" s="257"/>
      <c r="F72" s="98"/>
      <c r="G72" s="49"/>
      <c r="H72" s="50"/>
      <c r="AQ72" s="36"/>
    </row>
    <row r="73" spans="1:43" ht="27.6">
      <c r="A73" s="58" t="s">
        <v>70</v>
      </c>
      <c r="B73" s="44">
        <v>735494811</v>
      </c>
      <c r="C73" s="45"/>
      <c r="D73" s="96" t="s">
        <v>1318</v>
      </c>
      <c r="E73" s="257" t="s">
        <v>41</v>
      </c>
      <c r="F73" s="48">
        <f>SUM(F74:F79)</f>
        <v>226.14279999999999</v>
      </c>
      <c r="G73" s="49"/>
      <c r="H73" s="50">
        <f>ROUND((F73*G73),2)</f>
        <v>0</v>
      </c>
      <c r="J73" s="93"/>
      <c r="AQ73" s="36"/>
    </row>
    <row r="74" spans="1:43">
      <c r="A74" s="58" t="s">
        <v>71</v>
      </c>
      <c r="B74" s="44"/>
      <c r="C74" s="45"/>
      <c r="D74" s="94" t="s">
        <v>73</v>
      </c>
      <c r="E74" s="257"/>
      <c r="F74" s="99">
        <f>(85+80+7)*0.0628</f>
        <v>10.801599999999999</v>
      </c>
      <c r="G74" s="49"/>
      <c r="H74" s="50"/>
      <c r="AQ74" s="36"/>
    </row>
    <row r="75" spans="1:43">
      <c r="A75" s="58" t="s">
        <v>72</v>
      </c>
      <c r="B75" s="44"/>
      <c r="C75" s="45"/>
      <c r="D75" s="94" t="s">
        <v>75</v>
      </c>
      <c r="E75" s="257"/>
      <c r="F75" s="99">
        <f>(296+257+80)*0.0628</f>
        <v>39.752399999999994</v>
      </c>
      <c r="G75" s="49"/>
      <c r="H75" s="50"/>
      <c r="AQ75" s="36"/>
    </row>
    <row r="76" spans="1:43">
      <c r="A76" s="58" t="s">
        <v>74</v>
      </c>
      <c r="B76" s="44"/>
      <c r="C76" s="45"/>
      <c r="D76" s="94" t="s">
        <v>77</v>
      </c>
      <c r="E76" s="257"/>
      <c r="F76" s="99">
        <f>(293+308+85)* 0.0628</f>
        <v>43.080799999999996</v>
      </c>
      <c r="G76" s="49"/>
      <c r="H76" s="50"/>
      <c r="AQ76" s="36"/>
    </row>
    <row r="77" spans="1:43">
      <c r="A77" s="58" t="s">
        <v>76</v>
      </c>
      <c r="B77" s="44"/>
      <c r="C77" s="45"/>
      <c r="D77" s="94" t="s">
        <v>79</v>
      </c>
      <c r="E77" s="257"/>
      <c r="F77" s="100">
        <f>(263+281+68)* 0.0628</f>
        <v>38.433599999999998</v>
      </c>
      <c r="G77" s="49"/>
      <c r="H77" s="50"/>
      <c r="AQ77" s="36"/>
    </row>
    <row r="78" spans="1:43">
      <c r="A78" s="58" t="s">
        <v>78</v>
      </c>
      <c r="B78" s="44"/>
      <c r="C78" s="45"/>
      <c r="D78" s="94" t="s">
        <v>81</v>
      </c>
      <c r="E78" s="257"/>
      <c r="F78" s="100">
        <f>(288+290+70)* 0.0628</f>
        <v>40.694399999999995</v>
      </c>
      <c r="G78" s="49"/>
      <c r="H78" s="50"/>
      <c r="AQ78" s="36"/>
    </row>
    <row r="79" spans="1:43">
      <c r="A79" s="58" t="s">
        <v>80</v>
      </c>
      <c r="B79" s="44"/>
      <c r="C79" s="45"/>
      <c r="D79" s="94" t="s">
        <v>83</v>
      </c>
      <c r="E79" s="257"/>
      <c r="F79" s="100">
        <f>(375+385+90)* 0.0628</f>
        <v>53.379999999999995</v>
      </c>
      <c r="G79" s="49"/>
      <c r="H79" s="50"/>
      <c r="AQ79" s="36"/>
    </row>
    <row r="80" spans="1:43">
      <c r="A80" s="58" t="s">
        <v>82</v>
      </c>
      <c r="B80" s="44"/>
      <c r="C80" s="45"/>
      <c r="D80" s="94"/>
      <c r="E80" s="257"/>
      <c r="F80" s="101"/>
      <c r="G80" s="49"/>
      <c r="H80" s="50"/>
      <c r="AQ80" s="36"/>
    </row>
    <row r="81" spans="1:43" ht="41.4">
      <c r="A81" s="58" t="s">
        <v>84</v>
      </c>
      <c r="B81" s="44" t="s">
        <v>86</v>
      </c>
      <c r="C81" s="45"/>
      <c r="D81" s="94" t="s">
        <v>87</v>
      </c>
      <c r="E81" s="257" t="s">
        <v>88</v>
      </c>
      <c r="F81" s="49">
        <v>3</v>
      </c>
      <c r="G81" s="49"/>
      <c r="H81" s="50">
        <f>ROUND((F81*G81),2)</f>
        <v>0</v>
      </c>
      <c r="J81" s="93"/>
      <c r="AQ81" s="36"/>
    </row>
    <row r="82" spans="1:43" ht="55.2">
      <c r="A82" s="58" t="s">
        <v>85</v>
      </c>
      <c r="B82" s="44" t="s">
        <v>90</v>
      </c>
      <c r="C82" s="45"/>
      <c r="D82" s="94" t="s">
        <v>1320</v>
      </c>
      <c r="E82" s="257" t="s">
        <v>91</v>
      </c>
      <c r="F82" s="49">
        <f>410*4</f>
        <v>1640</v>
      </c>
      <c r="G82" s="49"/>
      <c r="H82" s="50">
        <f>ROUND((F82*G82),2)</f>
        <v>0</v>
      </c>
      <c r="J82" s="103"/>
      <c r="AQ82" s="36"/>
    </row>
    <row r="83" spans="1:43">
      <c r="A83" s="58" t="s">
        <v>89</v>
      </c>
      <c r="B83" s="44"/>
      <c r="C83" s="45"/>
      <c r="D83" s="94"/>
      <c r="E83" s="257"/>
      <c r="F83" s="100"/>
      <c r="G83" s="101"/>
      <c r="H83" s="104"/>
      <c r="J83" s="103"/>
      <c r="AQ83" s="36"/>
    </row>
    <row r="84" spans="1:43" ht="27.6">
      <c r="A84" s="58" t="s">
        <v>92</v>
      </c>
      <c r="B84" s="44">
        <v>735117110</v>
      </c>
      <c r="C84" s="45"/>
      <c r="D84" s="96" t="s">
        <v>1311</v>
      </c>
      <c r="E84" s="257" t="s">
        <v>41</v>
      </c>
      <c r="F84" s="49">
        <v>1928.58</v>
      </c>
      <c r="G84" s="49"/>
      <c r="H84" s="50">
        <f>ROUND((F84*G84),2)</f>
        <v>0</v>
      </c>
      <c r="J84" s="106"/>
      <c r="AQ84" s="36"/>
    </row>
    <row r="85" spans="1:43">
      <c r="A85" s="58" t="s">
        <v>93</v>
      </c>
      <c r="B85" s="44"/>
      <c r="C85" s="45"/>
      <c r="D85" s="96"/>
      <c r="E85" s="257"/>
      <c r="F85" s="107"/>
      <c r="G85" s="108"/>
      <c r="H85" s="89"/>
      <c r="J85" s="106"/>
      <c r="AQ85" s="36"/>
    </row>
    <row r="86" spans="1:43" ht="27.6">
      <c r="A86" s="58" t="s">
        <v>102</v>
      </c>
      <c r="B86" s="44"/>
      <c r="C86" s="45"/>
      <c r="D86" s="109" t="s">
        <v>1156</v>
      </c>
      <c r="E86" s="258" t="s">
        <v>948</v>
      </c>
      <c r="F86" s="88" t="s">
        <v>38</v>
      </c>
      <c r="G86" s="49"/>
      <c r="H86" s="253">
        <f>SUM(H88:H98)</f>
        <v>0</v>
      </c>
      <c r="AQ86" s="36"/>
    </row>
    <row r="87" spans="1:43">
      <c r="A87" s="58" t="s">
        <v>103</v>
      </c>
      <c r="B87" s="44"/>
      <c r="C87" s="45"/>
      <c r="D87" s="111"/>
      <c r="E87" s="258"/>
      <c r="F87" s="112"/>
      <c r="G87" s="112"/>
      <c r="H87" s="89"/>
      <c r="AQ87" s="36"/>
    </row>
    <row r="88" spans="1:43" ht="82.8">
      <c r="A88" s="58" t="s">
        <v>104</v>
      </c>
      <c r="B88" s="44" t="s">
        <v>945</v>
      </c>
      <c r="C88" s="45"/>
      <c r="D88" s="109" t="s">
        <v>1433</v>
      </c>
      <c r="E88" s="258" t="s">
        <v>91</v>
      </c>
      <c r="F88" s="101">
        <v>410</v>
      </c>
      <c r="G88" s="101"/>
      <c r="H88" s="114">
        <f>ROUND((F88*G88),2)</f>
        <v>0</v>
      </c>
      <c r="AQ88" s="36"/>
    </row>
    <row r="89" spans="1:43" ht="24">
      <c r="A89" s="58" t="s">
        <v>105</v>
      </c>
      <c r="B89" s="44">
        <v>735110911</v>
      </c>
      <c r="C89" s="45"/>
      <c r="D89" s="115" t="s">
        <v>1367</v>
      </c>
      <c r="E89" s="259" t="s">
        <v>91</v>
      </c>
      <c r="F89" s="101">
        <f>410*2</f>
        <v>820</v>
      </c>
      <c r="G89" s="101"/>
      <c r="H89" s="114">
        <f>ROUND((F89*G89),2)</f>
        <v>0</v>
      </c>
      <c r="AQ89" s="36"/>
    </row>
    <row r="90" spans="1:43" ht="27.6">
      <c r="A90" s="58" t="s">
        <v>106</v>
      </c>
      <c r="B90" s="44"/>
      <c r="C90" s="45"/>
      <c r="D90" s="94" t="s">
        <v>1368</v>
      </c>
      <c r="E90" s="258" t="s">
        <v>91</v>
      </c>
      <c r="F90" s="101">
        <v>410</v>
      </c>
      <c r="G90" s="101"/>
      <c r="H90" s="114">
        <f>ROUND((F90*G90),2)</f>
        <v>0</v>
      </c>
      <c r="AQ90" s="36"/>
    </row>
    <row r="91" spans="1:43">
      <c r="A91" s="58" t="s">
        <v>107</v>
      </c>
      <c r="B91" s="44"/>
      <c r="C91" s="45"/>
      <c r="D91" s="94"/>
      <c r="E91" s="258"/>
      <c r="F91" s="112"/>
      <c r="G91" s="112"/>
      <c r="H91" s="117"/>
      <c r="AQ91" s="36"/>
    </row>
    <row r="92" spans="1:43" ht="24">
      <c r="A92" s="58" t="s">
        <v>108</v>
      </c>
      <c r="B92" s="44"/>
      <c r="C92" s="45"/>
      <c r="D92" s="118" t="s">
        <v>947</v>
      </c>
      <c r="E92" s="257"/>
      <c r="F92" s="48"/>
      <c r="G92" s="49"/>
      <c r="H92" s="50"/>
      <c r="AQ92" s="36"/>
    </row>
    <row r="93" spans="1:43">
      <c r="A93" s="58" t="s">
        <v>109</v>
      </c>
      <c r="B93" s="44"/>
      <c r="C93" s="45"/>
      <c r="D93" s="90" t="s">
        <v>1144</v>
      </c>
      <c r="E93" s="257"/>
      <c r="F93" s="48"/>
      <c r="G93" s="49"/>
      <c r="H93" s="89"/>
      <c r="AQ93" s="36"/>
    </row>
    <row r="94" spans="1:43" ht="24">
      <c r="A94" s="58" t="s">
        <v>110</v>
      </c>
      <c r="B94" s="44" t="s">
        <v>94</v>
      </c>
      <c r="D94" s="115" t="s">
        <v>95</v>
      </c>
      <c r="E94" s="257" t="s">
        <v>41</v>
      </c>
      <c r="F94" s="48">
        <f>410*5</f>
        <v>2050</v>
      </c>
      <c r="G94" s="49"/>
      <c r="H94" s="50">
        <f>ROUND((F94*G94),2)</f>
        <v>0</v>
      </c>
      <c r="AQ94" s="36"/>
    </row>
    <row r="95" spans="1:43">
      <c r="A95" s="58" t="s">
        <v>111</v>
      </c>
      <c r="B95" s="44">
        <v>784111031</v>
      </c>
      <c r="C95" s="45"/>
      <c r="D95" s="90" t="s">
        <v>96</v>
      </c>
      <c r="E95" s="257" t="s">
        <v>41</v>
      </c>
      <c r="F95" s="48">
        <f>410*5</f>
        <v>2050</v>
      </c>
      <c r="G95" s="49"/>
      <c r="H95" s="50">
        <f t="shared" ref="H95:H98" si="0">ROUND((F95*G95),2)</f>
        <v>0</v>
      </c>
      <c r="AQ95" s="36"/>
    </row>
    <row r="96" spans="1:43" ht="24">
      <c r="A96" s="58" t="s">
        <v>112</v>
      </c>
      <c r="B96" s="44" t="s">
        <v>97</v>
      </c>
      <c r="C96" s="45"/>
      <c r="D96" s="90" t="s">
        <v>98</v>
      </c>
      <c r="E96" s="257" t="s">
        <v>41</v>
      </c>
      <c r="F96" s="48">
        <f>410*5</f>
        <v>2050</v>
      </c>
      <c r="G96" s="49"/>
      <c r="H96" s="50">
        <f t="shared" si="0"/>
        <v>0</v>
      </c>
      <c r="AQ96" s="36"/>
    </row>
    <row r="97" spans="1:43" ht="24">
      <c r="A97" s="58" t="s">
        <v>113</v>
      </c>
      <c r="B97" s="44" t="s">
        <v>99</v>
      </c>
      <c r="C97" s="45"/>
      <c r="D97" s="90" t="s">
        <v>100</v>
      </c>
      <c r="E97" s="257" t="s">
        <v>41</v>
      </c>
      <c r="F97" s="48">
        <f>410*5</f>
        <v>2050</v>
      </c>
      <c r="G97" s="49"/>
      <c r="H97" s="50">
        <f t="shared" si="0"/>
        <v>0</v>
      </c>
      <c r="AQ97" s="36"/>
    </row>
    <row r="98" spans="1:43" ht="24">
      <c r="A98" s="58" t="s">
        <v>114</v>
      </c>
      <c r="B98" s="44" t="s">
        <v>1145</v>
      </c>
      <c r="C98" s="45"/>
      <c r="D98" s="90" t="s">
        <v>101</v>
      </c>
      <c r="E98" s="257" t="s">
        <v>41</v>
      </c>
      <c r="F98" s="48">
        <v>1928</v>
      </c>
      <c r="G98" s="49"/>
      <c r="H98" s="50">
        <f t="shared" si="0"/>
        <v>0</v>
      </c>
      <c r="AQ98" s="36"/>
    </row>
    <row r="99" spans="1:43">
      <c r="A99" s="58" t="s">
        <v>115</v>
      </c>
      <c r="B99" s="44"/>
      <c r="C99" s="45"/>
      <c r="D99" s="111"/>
      <c r="E99" s="258"/>
      <c r="F99" s="112"/>
      <c r="G99" s="97"/>
      <c r="H99" s="50"/>
      <c r="AQ99" s="36"/>
    </row>
    <row r="100" spans="1:43">
      <c r="A100" s="58" t="s">
        <v>116</v>
      </c>
      <c r="B100" s="44"/>
      <c r="C100" s="45"/>
      <c r="D100" s="111"/>
      <c r="E100" s="258"/>
      <c r="F100" s="112"/>
      <c r="G100" s="97"/>
      <c r="H100" s="50"/>
      <c r="AQ100" s="36"/>
    </row>
    <row r="101" spans="1:43" s="122" customFormat="1" ht="13.8">
      <c r="A101" s="58" t="s">
        <v>118</v>
      </c>
      <c r="B101" s="44"/>
      <c r="C101" s="45"/>
      <c r="D101" s="92"/>
      <c r="E101" s="131"/>
      <c r="F101" s="48"/>
      <c r="G101" s="120"/>
      <c r="H101" s="121"/>
      <c r="J101" s="34"/>
      <c r="AQ101" s="123"/>
    </row>
    <row r="102" spans="1:43">
      <c r="A102" s="58" t="s">
        <v>119</v>
      </c>
      <c r="B102" s="44"/>
      <c r="C102" s="45"/>
      <c r="D102" s="124" t="s">
        <v>7</v>
      </c>
      <c r="E102" s="258" t="s">
        <v>6</v>
      </c>
      <c r="F102" s="97" t="s">
        <v>38</v>
      </c>
      <c r="G102" s="97"/>
      <c r="H102" s="254">
        <f>SUM(H105:H597)</f>
        <v>0</v>
      </c>
      <c r="AQ102" s="36"/>
    </row>
    <row r="103" spans="1:43">
      <c r="A103" s="58" t="s">
        <v>120</v>
      </c>
      <c r="B103" s="44"/>
      <c r="C103" s="45"/>
      <c r="D103" s="126" t="s">
        <v>147</v>
      </c>
      <c r="E103" s="258"/>
      <c r="F103" s="88"/>
      <c r="G103" s="97"/>
      <c r="H103" s="89"/>
      <c r="AQ103" s="36"/>
    </row>
    <row r="104" spans="1:43" s="122" customFormat="1" ht="13.8">
      <c r="A104" s="58" t="s">
        <v>121</v>
      </c>
      <c r="B104" s="44"/>
      <c r="C104" s="45"/>
      <c r="D104" s="92"/>
      <c r="E104" s="131"/>
      <c r="F104" s="48"/>
      <c r="G104" s="120"/>
      <c r="H104" s="121"/>
      <c r="J104" s="34"/>
      <c r="AQ104" s="123"/>
    </row>
    <row r="105" spans="1:43" s="122" customFormat="1" ht="27.6">
      <c r="A105" s="58" t="s">
        <v>122</v>
      </c>
      <c r="B105" s="44">
        <v>783601421</v>
      </c>
      <c r="C105" s="45"/>
      <c r="D105" s="92" t="s">
        <v>150</v>
      </c>
      <c r="E105" s="257" t="s">
        <v>41</v>
      </c>
      <c r="F105" s="108">
        <f>F140</f>
        <v>1930.2349999999999</v>
      </c>
      <c r="G105" s="120"/>
      <c r="H105" s="50">
        <f t="shared" ref="H105:H120" si="1">ROUND((F105*G105),2)</f>
        <v>0</v>
      </c>
      <c r="J105" s="128"/>
      <c r="AQ105" s="123"/>
    </row>
    <row r="106" spans="1:43" s="122" customFormat="1" ht="13.8">
      <c r="A106" s="58" t="s">
        <v>123</v>
      </c>
      <c r="B106" s="44"/>
      <c r="C106" s="45"/>
      <c r="D106" s="92"/>
      <c r="E106" s="131"/>
      <c r="F106" s="48"/>
      <c r="G106" s="120"/>
      <c r="H106" s="50"/>
      <c r="J106" s="34"/>
      <c r="AQ106" s="123"/>
    </row>
    <row r="107" spans="1:43" ht="41.4">
      <c r="A107" s="58" t="s">
        <v>124</v>
      </c>
      <c r="B107" s="44">
        <v>783601345</v>
      </c>
      <c r="C107" s="45"/>
      <c r="D107" s="129" t="s">
        <v>155</v>
      </c>
      <c r="E107" s="257" t="s">
        <v>41</v>
      </c>
      <c r="F107" s="48">
        <f>F105</f>
        <v>1930.2349999999999</v>
      </c>
      <c r="G107" s="49"/>
      <c r="H107" s="50">
        <f t="shared" si="1"/>
        <v>0</v>
      </c>
      <c r="J107" s="130"/>
      <c r="AQ107" s="36"/>
    </row>
    <row r="108" spans="1:43">
      <c r="A108" s="58" t="s">
        <v>125</v>
      </c>
      <c r="B108" s="44"/>
      <c r="C108" s="45"/>
      <c r="D108" s="131"/>
      <c r="E108" s="257"/>
      <c r="F108" s="48"/>
      <c r="G108" s="49"/>
      <c r="H108" s="50"/>
      <c r="J108" s="130"/>
      <c r="AQ108" s="36"/>
    </row>
    <row r="109" spans="1:43" ht="27.6">
      <c r="A109" s="58" t="s">
        <v>126</v>
      </c>
      <c r="B109" s="44">
        <v>783622111</v>
      </c>
      <c r="C109" s="45"/>
      <c r="D109" s="132" t="s">
        <v>158</v>
      </c>
      <c r="E109" s="257" t="s">
        <v>41</v>
      </c>
      <c r="F109" s="48">
        <f>F107*0.3</f>
        <v>579.07049999999992</v>
      </c>
      <c r="G109" s="49"/>
      <c r="H109" s="50">
        <f t="shared" si="1"/>
        <v>0</v>
      </c>
      <c r="J109" s="130"/>
      <c r="AQ109" s="36"/>
    </row>
    <row r="110" spans="1:43">
      <c r="A110" s="58" t="s">
        <v>127</v>
      </c>
      <c r="B110" s="44"/>
      <c r="C110" s="45"/>
      <c r="D110" s="129" t="s">
        <v>160</v>
      </c>
      <c r="E110" s="257"/>
      <c r="F110" s="48"/>
      <c r="G110" s="49"/>
      <c r="H110" s="50"/>
      <c r="J110" s="50"/>
      <c r="AQ110" s="36"/>
    </row>
    <row r="111" spans="1:43">
      <c r="A111" s="58" t="s">
        <v>128</v>
      </c>
      <c r="B111" s="44"/>
      <c r="C111" s="45"/>
      <c r="D111" s="131"/>
      <c r="E111" s="257"/>
      <c r="F111" s="48"/>
      <c r="G111" s="49"/>
      <c r="H111" s="50"/>
      <c r="J111" s="130"/>
      <c r="AQ111" s="36"/>
    </row>
    <row r="112" spans="1:43" ht="27.6">
      <c r="A112" s="58" t="s">
        <v>129</v>
      </c>
      <c r="B112" s="44">
        <v>783624141</v>
      </c>
      <c r="C112" s="45"/>
      <c r="D112" s="129" t="s">
        <v>1147</v>
      </c>
      <c r="E112" s="257" t="s">
        <v>41</v>
      </c>
      <c r="F112" s="48">
        <f>F107</f>
        <v>1930.2349999999999</v>
      </c>
      <c r="G112" s="49"/>
      <c r="H112" s="50">
        <f t="shared" si="1"/>
        <v>0</v>
      </c>
      <c r="J112" s="50"/>
      <c r="AQ112" s="36"/>
    </row>
    <row r="113" spans="1:43">
      <c r="A113" s="58" t="s">
        <v>130</v>
      </c>
      <c r="B113" s="44"/>
      <c r="C113" s="45"/>
      <c r="D113" s="131"/>
      <c r="E113" s="257"/>
      <c r="F113" s="48"/>
      <c r="G113" s="49"/>
      <c r="H113" s="50"/>
      <c r="J113" s="130"/>
      <c r="AQ113" s="36"/>
    </row>
    <row r="114" spans="1:43" ht="24">
      <c r="A114" s="58" t="s">
        <v>131</v>
      </c>
      <c r="B114" s="44">
        <v>783627117</v>
      </c>
      <c r="C114" s="35"/>
      <c r="D114" s="115" t="s">
        <v>1146</v>
      </c>
      <c r="E114" s="257" t="s">
        <v>41</v>
      </c>
      <c r="F114" s="48">
        <f>F107</f>
        <v>1930.2349999999999</v>
      </c>
      <c r="G114" s="49"/>
      <c r="H114" s="50">
        <f t="shared" si="1"/>
        <v>0</v>
      </c>
      <c r="J114" s="50"/>
      <c r="AQ114" s="36"/>
    </row>
    <row r="115" spans="1:43">
      <c r="A115" s="58" t="s">
        <v>132</v>
      </c>
      <c r="B115" s="44"/>
      <c r="C115" s="45"/>
      <c r="D115" s="131"/>
      <c r="E115" s="257"/>
      <c r="F115" s="48"/>
      <c r="G115" s="49"/>
      <c r="H115" s="50"/>
      <c r="AQ115" s="36"/>
    </row>
    <row r="116" spans="1:43" ht="41.4">
      <c r="A116" s="58" t="s">
        <v>133</v>
      </c>
      <c r="B116" s="44">
        <v>783601715</v>
      </c>
      <c r="C116" s="45"/>
      <c r="D116" s="129" t="s">
        <v>167</v>
      </c>
      <c r="E116" s="257" t="s">
        <v>168</v>
      </c>
      <c r="F116" s="48">
        <f>F123+F131</f>
        <v>5905</v>
      </c>
      <c r="G116" s="49"/>
      <c r="H116" s="50">
        <f t="shared" si="1"/>
        <v>0</v>
      </c>
      <c r="J116" s="133"/>
      <c r="AQ116" s="36"/>
    </row>
    <row r="117" spans="1:43">
      <c r="A117" s="58" t="s">
        <v>134</v>
      </c>
      <c r="B117" s="44"/>
      <c r="C117" s="45"/>
      <c r="D117" s="134"/>
      <c r="E117" s="257"/>
      <c r="F117" s="48"/>
      <c r="G117" s="49"/>
      <c r="H117" s="50"/>
      <c r="J117" s="130"/>
      <c r="AQ117" s="36"/>
    </row>
    <row r="118" spans="1:43" ht="27.6">
      <c r="A118" s="58" t="s">
        <v>135</v>
      </c>
      <c r="B118" s="44">
        <v>783624551</v>
      </c>
      <c r="C118" s="45"/>
      <c r="D118" s="129" t="s">
        <v>1148</v>
      </c>
      <c r="E118" s="257" t="s">
        <v>168</v>
      </c>
      <c r="F118" s="48">
        <f>F116</f>
        <v>5905</v>
      </c>
      <c r="G118" s="49"/>
      <c r="H118" s="50">
        <f t="shared" si="1"/>
        <v>0</v>
      </c>
      <c r="J118" s="130"/>
      <c r="AQ118" s="36"/>
    </row>
    <row r="119" spans="1:43">
      <c r="A119" s="58" t="s">
        <v>136</v>
      </c>
      <c r="B119" s="44"/>
      <c r="C119" s="45"/>
      <c r="D119" s="134"/>
      <c r="E119" s="257"/>
      <c r="F119" s="48"/>
      <c r="G119" s="49"/>
      <c r="H119" s="50"/>
      <c r="J119" s="130"/>
      <c r="AQ119" s="36"/>
    </row>
    <row r="120" spans="1:43" ht="27.6">
      <c r="A120" s="58" t="s">
        <v>137</v>
      </c>
      <c r="B120" s="44">
        <v>783627612</v>
      </c>
      <c r="C120" s="45"/>
      <c r="D120" s="129" t="s">
        <v>1149</v>
      </c>
      <c r="E120" s="257" t="s">
        <v>168</v>
      </c>
      <c r="F120" s="48">
        <f>F116</f>
        <v>5905</v>
      </c>
      <c r="G120" s="49"/>
      <c r="H120" s="50">
        <f t="shared" si="1"/>
        <v>0</v>
      </c>
      <c r="J120" s="130"/>
      <c r="AQ120" s="36"/>
    </row>
    <row r="121" spans="1:43">
      <c r="A121" s="58" t="s">
        <v>138</v>
      </c>
      <c r="B121" s="44"/>
      <c r="C121" s="45"/>
      <c r="D121" s="129"/>
      <c r="E121" s="257"/>
      <c r="F121" s="48"/>
      <c r="G121" s="49"/>
      <c r="H121" s="50"/>
      <c r="J121" s="130"/>
      <c r="AQ121" s="36"/>
    </row>
    <row r="122" spans="1:43">
      <c r="A122" s="58" t="s">
        <v>139</v>
      </c>
      <c r="B122" s="44"/>
      <c r="C122" s="45"/>
      <c r="D122" s="129"/>
      <c r="E122" s="257"/>
      <c r="F122" s="48"/>
      <c r="G122" s="49"/>
      <c r="H122" s="50"/>
      <c r="J122" s="130"/>
      <c r="AQ122" s="36"/>
    </row>
    <row r="123" spans="1:43">
      <c r="A123" s="58" t="s">
        <v>140</v>
      </c>
      <c r="B123" s="44"/>
      <c r="C123" s="45"/>
      <c r="D123" s="135" t="s">
        <v>176</v>
      </c>
      <c r="E123" s="258" t="s">
        <v>177</v>
      </c>
      <c r="F123" s="88">
        <f>90+495+358+320+298+229</f>
        <v>1790</v>
      </c>
      <c r="G123" s="97"/>
      <c r="H123" s="50"/>
      <c r="J123" s="136"/>
      <c r="AQ123" s="36"/>
    </row>
    <row r="124" spans="1:43">
      <c r="A124" s="58" t="s">
        <v>141</v>
      </c>
      <c r="B124" s="44"/>
      <c r="C124" s="45"/>
      <c r="D124" s="94" t="s">
        <v>179</v>
      </c>
      <c r="E124" s="257"/>
      <c r="F124" s="48">
        <v>90</v>
      </c>
      <c r="G124" s="97"/>
      <c r="H124" s="50"/>
      <c r="AQ124" s="36"/>
    </row>
    <row r="125" spans="1:43">
      <c r="A125" s="58" t="s">
        <v>142</v>
      </c>
      <c r="B125" s="44"/>
      <c r="C125" s="45"/>
      <c r="D125" s="94" t="s">
        <v>181</v>
      </c>
      <c r="E125" s="257"/>
      <c r="F125" s="48">
        <v>495</v>
      </c>
      <c r="G125" s="97"/>
      <c r="H125" s="50"/>
      <c r="AQ125" s="36"/>
    </row>
    <row r="126" spans="1:43">
      <c r="A126" s="58" t="s">
        <v>143</v>
      </c>
      <c r="B126" s="44"/>
      <c r="C126" s="45"/>
      <c r="D126" s="94" t="s">
        <v>183</v>
      </c>
      <c r="E126" s="257"/>
      <c r="F126" s="48">
        <v>358</v>
      </c>
      <c r="G126" s="97"/>
      <c r="H126" s="50"/>
      <c r="AQ126" s="36"/>
    </row>
    <row r="127" spans="1:43">
      <c r="A127" s="58" t="s">
        <v>144</v>
      </c>
      <c r="B127" s="44"/>
      <c r="C127" s="45"/>
      <c r="D127" s="94" t="s">
        <v>185</v>
      </c>
      <c r="E127" s="257"/>
      <c r="F127" s="48">
        <v>320</v>
      </c>
      <c r="G127" s="97"/>
      <c r="H127" s="50"/>
      <c r="AQ127" s="36"/>
    </row>
    <row r="128" spans="1:43">
      <c r="A128" s="58" t="s">
        <v>145</v>
      </c>
      <c r="B128" s="44"/>
      <c r="C128" s="45"/>
      <c r="D128" s="94" t="s">
        <v>187</v>
      </c>
      <c r="E128" s="257"/>
      <c r="F128" s="48">
        <v>298</v>
      </c>
      <c r="G128" s="97"/>
      <c r="H128" s="50"/>
      <c r="AQ128" s="36"/>
    </row>
    <row r="129" spans="1:43">
      <c r="A129" s="58" t="s">
        <v>146</v>
      </c>
      <c r="B129" s="44"/>
      <c r="C129" s="45"/>
      <c r="D129" s="94" t="s">
        <v>189</v>
      </c>
      <c r="E129" s="257"/>
      <c r="F129" s="48">
        <v>229</v>
      </c>
      <c r="G129" s="97"/>
      <c r="H129" s="50"/>
      <c r="AQ129" s="36"/>
    </row>
    <row r="130" spans="1:43">
      <c r="A130" s="58" t="s">
        <v>148</v>
      </c>
      <c r="B130" s="44"/>
      <c r="C130" s="45"/>
      <c r="D130" s="129"/>
      <c r="E130" s="257"/>
      <c r="F130" s="88"/>
      <c r="G130" s="97"/>
      <c r="H130" s="50"/>
      <c r="AQ130" s="36"/>
    </row>
    <row r="131" spans="1:43" ht="41.4">
      <c r="A131" s="58" t="s">
        <v>149</v>
      </c>
      <c r="B131" s="44"/>
      <c r="C131" s="45"/>
      <c r="D131" s="96" t="s">
        <v>192</v>
      </c>
      <c r="E131" s="258" t="s">
        <v>177</v>
      </c>
      <c r="F131" s="88">
        <f>SUM(F132:F137)</f>
        <v>4115</v>
      </c>
      <c r="G131" s="97"/>
      <c r="H131" s="50"/>
      <c r="J131" s="136"/>
      <c r="AQ131" s="36"/>
    </row>
    <row r="132" spans="1:43">
      <c r="A132" s="58" t="s">
        <v>151</v>
      </c>
      <c r="B132" s="44"/>
      <c r="C132" s="45"/>
      <c r="D132" s="94" t="s">
        <v>194</v>
      </c>
      <c r="E132" s="257"/>
      <c r="F132" s="48">
        <f>(90+85+7)</f>
        <v>182</v>
      </c>
      <c r="G132" s="97"/>
      <c r="H132" s="50"/>
      <c r="AQ132" s="36"/>
    </row>
    <row r="133" spans="1:43">
      <c r="A133" s="58" t="s">
        <v>152</v>
      </c>
      <c r="B133" s="44"/>
      <c r="C133" s="45"/>
      <c r="D133" s="94" t="s">
        <v>196</v>
      </c>
      <c r="E133" s="257"/>
      <c r="F133" s="48">
        <f xml:space="preserve"> (352+313+80)</f>
        <v>745</v>
      </c>
      <c r="G133" s="97"/>
      <c r="H133" s="50"/>
      <c r="AQ133" s="36"/>
    </row>
    <row r="134" spans="1:43">
      <c r="A134" s="58" t="s">
        <v>153</v>
      </c>
      <c r="B134" s="44"/>
      <c r="C134" s="45"/>
      <c r="D134" s="94" t="s">
        <v>198</v>
      </c>
      <c r="E134" s="257"/>
      <c r="F134" s="48">
        <f>(349+364+85)</f>
        <v>798</v>
      </c>
      <c r="G134" s="97"/>
      <c r="H134" s="50"/>
      <c r="AQ134" s="36"/>
    </row>
    <row r="135" spans="1:43">
      <c r="A135" s="58" t="s">
        <v>154</v>
      </c>
      <c r="B135" s="44"/>
      <c r="C135" s="45"/>
      <c r="D135" s="94" t="s">
        <v>200</v>
      </c>
      <c r="E135" s="257"/>
      <c r="F135" s="48">
        <f>(319+281+68)</f>
        <v>668</v>
      </c>
      <c r="G135" s="97"/>
      <c r="H135" s="50"/>
      <c r="AQ135" s="36"/>
    </row>
    <row r="136" spans="1:43">
      <c r="A136" s="58" t="s">
        <v>156</v>
      </c>
      <c r="B136" s="44"/>
      <c r="C136" s="45"/>
      <c r="D136" s="94" t="s">
        <v>202</v>
      </c>
      <c r="E136" s="257"/>
      <c r="F136" s="48">
        <f>(344+346+70)</f>
        <v>760</v>
      </c>
      <c r="G136" s="97"/>
      <c r="H136" s="50"/>
      <c r="AQ136" s="36"/>
    </row>
    <row r="137" spans="1:43">
      <c r="A137" s="58" t="s">
        <v>157</v>
      </c>
      <c r="B137" s="44"/>
      <c r="C137" s="45"/>
      <c r="D137" s="94" t="s">
        <v>204</v>
      </c>
      <c r="E137" s="257"/>
      <c r="F137" s="48">
        <f>(431+441+90)</f>
        <v>962</v>
      </c>
      <c r="G137" s="97"/>
      <c r="H137" s="50"/>
      <c r="AQ137" s="36"/>
    </row>
    <row r="138" spans="1:43">
      <c r="A138" s="58" t="s">
        <v>159</v>
      </c>
      <c r="B138" s="44"/>
      <c r="C138" s="45"/>
      <c r="D138" s="137"/>
      <c r="E138" s="258"/>
      <c r="F138" s="88"/>
      <c r="G138" s="97"/>
      <c r="H138" s="50"/>
      <c r="AQ138" s="36"/>
    </row>
    <row r="139" spans="1:43" s="122" customFormat="1" ht="13.8">
      <c r="A139" s="58" t="s">
        <v>161</v>
      </c>
      <c r="B139" s="44"/>
      <c r="C139" s="45"/>
      <c r="D139" s="88"/>
      <c r="E139" s="258"/>
      <c r="F139" s="138"/>
      <c r="G139" s="49" t="s">
        <v>1150</v>
      </c>
      <c r="H139" s="121"/>
      <c r="J139" s="34"/>
      <c r="AQ139" s="123"/>
    </row>
    <row r="140" spans="1:43" s="122" customFormat="1" ht="13.8">
      <c r="A140" s="58" t="s">
        <v>162</v>
      </c>
      <c r="B140" s="44"/>
      <c r="C140" s="45"/>
      <c r="D140" s="97" t="s">
        <v>1109</v>
      </c>
      <c r="E140" s="258" t="s">
        <v>41</v>
      </c>
      <c r="F140" s="107">
        <f>F143+F256+F356+F389+F419+F465+F529+F566</f>
        <v>1930.2349999999999</v>
      </c>
      <c r="G140" s="107">
        <f>SUM(G143:G595)</f>
        <v>410</v>
      </c>
      <c r="H140" s="121"/>
      <c r="J140" s="139"/>
      <c r="AQ140" s="123"/>
    </row>
    <row r="141" spans="1:43" s="122" customFormat="1" ht="13.8">
      <c r="A141" s="58" t="s">
        <v>163</v>
      </c>
      <c r="B141" s="44"/>
      <c r="C141" s="45"/>
      <c r="D141" s="97"/>
      <c r="E141" s="258"/>
      <c r="F141" s="107"/>
      <c r="G141" s="107"/>
      <c r="H141" s="121"/>
      <c r="J141" s="34"/>
      <c r="AQ141" s="123"/>
    </row>
    <row r="142" spans="1:43" s="122" customFormat="1" ht="13.8">
      <c r="A142" s="58" t="s">
        <v>164</v>
      </c>
      <c r="B142" s="44"/>
      <c r="C142" s="45"/>
      <c r="D142" s="140" t="s">
        <v>1369</v>
      </c>
      <c r="E142" s="258"/>
      <c r="F142" s="97"/>
      <c r="G142" s="97"/>
      <c r="H142" s="121"/>
      <c r="J142" s="34"/>
      <c r="AQ142" s="123"/>
    </row>
    <row r="143" spans="1:43" s="122" customFormat="1" ht="13.8">
      <c r="A143" s="58" t="s">
        <v>165</v>
      </c>
      <c r="B143" s="44"/>
      <c r="C143" s="141" t="s">
        <v>962</v>
      </c>
      <c r="D143" s="107" t="s">
        <v>1370</v>
      </c>
      <c r="E143" s="257" t="s">
        <v>41</v>
      </c>
      <c r="F143" s="49">
        <f>SUM(F144:F253)</f>
        <v>596.61499999999978</v>
      </c>
      <c r="G143" s="97"/>
      <c r="H143" s="121"/>
      <c r="J143" s="142"/>
      <c r="AQ143" s="123"/>
    </row>
    <row r="144" spans="1:43" s="122" customFormat="1" ht="13.8">
      <c r="A144" s="58" t="s">
        <v>166</v>
      </c>
      <c r="B144" s="44"/>
      <c r="C144" s="141" t="s">
        <v>962</v>
      </c>
      <c r="D144" s="143" t="s">
        <v>1371</v>
      </c>
      <c r="E144" s="257"/>
      <c r="F144" s="138"/>
      <c r="G144" s="97"/>
      <c r="H144" s="144"/>
      <c r="J144" s="34"/>
      <c r="AQ144" s="123"/>
    </row>
    <row r="145" spans="1:43" s="122" customFormat="1" ht="13.8">
      <c r="A145" s="58" t="s">
        <v>169</v>
      </c>
      <c r="B145" s="44"/>
      <c r="C145" s="145" t="s">
        <v>269</v>
      </c>
      <c r="D145" s="129" t="s">
        <v>270</v>
      </c>
      <c r="E145" s="258"/>
      <c r="F145" s="88">
        <f>0.255*22*2</f>
        <v>11.22</v>
      </c>
      <c r="G145" s="97">
        <v>2</v>
      </c>
      <c r="H145" s="144"/>
      <c r="J145" s="34"/>
      <c r="AQ145" s="123"/>
    </row>
    <row r="146" spans="1:43" s="122" customFormat="1" ht="13.8">
      <c r="A146" s="58" t="s">
        <v>170</v>
      </c>
      <c r="B146" s="44"/>
      <c r="C146" s="145" t="s">
        <v>267</v>
      </c>
      <c r="D146" s="129" t="s">
        <v>963</v>
      </c>
      <c r="E146" s="258"/>
      <c r="F146" s="88">
        <f>0.255*22*1</f>
        <v>5.61</v>
      </c>
      <c r="G146" s="97">
        <v>1</v>
      </c>
      <c r="H146" s="144"/>
      <c r="J146" s="34"/>
      <c r="AQ146" s="123"/>
    </row>
    <row r="147" spans="1:43" s="122" customFormat="1" ht="13.8">
      <c r="A147" s="58" t="s">
        <v>171</v>
      </c>
      <c r="B147" s="44"/>
      <c r="C147" s="145" t="s">
        <v>220</v>
      </c>
      <c r="D147" s="129" t="s">
        <v>964</v>
      </c>
      <c r="E147" s="258"/>
      <c r="F147" s="88">
        <f>0.255*20*2</f>
        <v>10.199999999999999</v>
      </c>
      <c r="G147" s="97">
        <v>2</v>
      </c>
      <c r="H147" s="144"/>
      <c r="J147" s="34"/>
      <c r="AQ147" s="123"/>
    </row>
    <row r="148" spans="1:43" s="122" customFormat="1" ht="13.8">
      <c r="A148" s="58" t="s">
        <v>172</v>
      </c>
      <c r="B148" s="44"/>
      <c r="C148" s="145" t="s">
        <v>220</v>
      </c>
      <c r="D148" s="129" t="s">
        <v>259</v>
      </c>
      <c r="E148" s="258"/>
      <c r="F148" s="88">
        <f>0.255*15*1</f>
        <v>3.8250000000000002</v>
      </c>
      <c r="G148" s="97">
        <v>1</v>
      </c>
      <c r="H148" s="144"/>
      <c r="J148" s="34"/>
      <c r="AQ148" s="123"/>
    </row>
    <row r="149" spans="1:43" s="122" customFormat="1" ht="13.8">
      <c r="A149" s="58" t="s">
        <v>173</v>
      </c>
      <c r="B149" s="44"/>
      <c r="C149" s="145" t="s">
        <v>261</v>
      </c>
      <c r="D149" s="129" t="s">
        <v>262</v>
      </c>
      <c r="E149" s="258"/>
      <c r="F149" s="88">
        <f>0.255*16*1</f>
        <v>4.08</v>
      </c>
      <c r="G149" s="97">
        <v>1</v>
      </c>
      <c r="H149" s="144"/>
      <c r="J149" s="34"/>
      <c r="AQ149" s="123"/>
    </row>
    <row r="150" spans="1:43" s="122" customFormat="1" ht="13.8">
      <c r="A150" s="58" t="s">
        <v>174</v>
      </c>
      <c r="B150" s="44"/>
      <c r="C150" s="145" t="s">
        <v>216</v>
      </c>
      <c r="D150" s="129" t="s">
        <v>259</v>
      </c>
      <c r="E150" s="258"/>
      <c r="F150" s="88">
        <f>0.255*15*1</f>
        <v>3.8250000000000002</v>
      </c>
      <c r="G150" s="97">
        <v>1</v>
      </c>
      <c r="H150" s="144"/>
      <c r="J150" s="34"/>
      <c r="AQ150" s="123"/>
    </row>
    <row r="151" spans="1:43" s="122" customFormat="1" ht="13.8">
      <c r="A151" s="58" t="s">
        <v>175</v>
      </c>
      <c r="B151" s="44"/>
      <c r="C151" s="145" t="s">
        <v>257</v>
      </c>
      <c r="D151" s="129" t="s">
        <v>963</v>
      </c>
      <c r="E151" s="258"/>
      <c r="F151" s="88">
        <f>0.255*22*1</f>
        <v>5.61</v>
      </c>
      <c r="G151" s="97">
        <v>1</v>
      </c>
      <c r="H151" s="144"/>
      <c r="J151" s="34"/>
      <c r="AQ151" s="123"/>
    </row>
    <row r="152" spans="1:43" s="122" customFormat="1" ht="13.8">
      <c r="A152" s="58" t="s">
        <v>178</v>
      </c>
      <c r="B152" s="44"/>
      <c r="C152" s="145" t="s">
        <v>254</v>
      </c>
      <c r="D152" s="129" t="s">
        <v>966</v>
      </c>
      <c r="E152" s="258"/>
      <c r="F152" s="88">
        <f>0.255*24*2</f>
        <v>12.24</v>
      </c>
      <c r="G152" s="97">
        <v>2</v>
      </c>
      <c r="H152" s="144"/>
      <c r="J152" s="34"/>
      <c r="AQ152" s="123"/>
    </row>
    <row r="153" spans="1:43" s="122" customFormat="1" ht="13.8">
      <c r="A153" s="58" t="s">
        <v>180</v>
      </c>
      <c r="B153" s="44"/>
      <c r="C153" s="145"/>
      <c r="D153" s="129"/>
      <c r="E153" s="258"/>
      <c r="F153" s="88"/>
      <c r="G153" s="146"/>
      <c r="H153" s="144"/>
      <c r="J153" s="34"/>
      <c r="AQ153" s="123"/>
    </row>
    <row r="154" spans="1:43" s="122" customFormat="1" ht="13.8">
      <c r="A154" s="58" t="s">
        <v>182</v>
      </c>
      <c r="B154" s="44"/>
      <c r="C154" s="141" t="s">
        <v>962</v>
      </c>
      <c r="D154" s="143" t="s">
        <v>1372</v>
      </c>
      <c r="E154" s="258"/>
      <c r="F154" s="88"/>
      <c r="G154" s="97"/>
      <c r="H154" s="144"/>
      <c r="J154" s="34"/>
      <c r="AQ154" s="123"/>
    </row>
    <row r="155" spans="1:43" s="122" customFormat="1" ht="13.8">
      <c r="A155" s="58" t="s">
        <v>184</v>
      </c>
      <c r="B155" s="44"/>
      <c r="C155" s="145" t="s">
        <v>970</v>
      </c>
      <c r="D155" s="129" t="s">
        <v>966</v>
      </c>
      <c r="E155" s="258"/>
      <c r="F155" s="88">
        <f t="shared" ref="F155" si="2">0.255*24*2</f>
        <v>12.24</v>
      </c>
      <c r="G155" s="97">
        <v>2</v>
      </c>
      <c r="H155" s="144"/>
      <c r="J155" s="34"/>
      <c r="AQ155" s="123"/>
    </row>
    <row r="156" spans="1:43" s="122" customFormat="1" ht="13.8">
      <c r="A156" s="58" t="s">
        <v>186</v>
      </c>
      <c r="B156" s="44"/>
      <c r="C156" s="145" t="s">
        <v>971</v>
      </c>
      <c r="D156" s="129" t="s">
        <v>973</v>
      </c>
      <c r="E156" s="258"/>
      <c r="F156" s="88">
        <f>0.255*18*1</f>
        <v>4.59</v>
      </c>
      <c r="G156" s="97">
        <v>1</v>
      </c>
      <c r="H156" s="144"/>
      <c r="J156" s="34"/>
      <c r="AQ156" s="123"/>
    </row>
    <row r="157" spans="1:43" s="122" customFormat="1" ht="13.8">
      <c r="A157" s="58" t="s">
        <v>188</v>
      </c>
      <c r="B157" s="44"/>
      <c r="C157" s="145" t="s">
        <v>972</v>
      </c>
      <c r="D157" s="129" t="s">
        <v>977</v>
      </c>
      <c r="E157" s="258"/>
      <c r="F157" s="88">
        <f>0.255*14*6</f>
        <v>21.42</v>
      </c>
      <c r="G157" s="97">
        <v>6</v>
      </c>
      <c r="H157" s="144"/>
      <c r="J157" s="34"/>
      <c r="AQ157" s="123"/>
    </row>
    <row r="158" spans="1:43" s="122" customFormat="1" ht="13.8">
      <c r="A158" s="58" t="s">
        <v>190</v>
      </c>
      <c r="B158" s="44"/>
      <c r="C158" s="145" t="s">
        <v>239</v>
      </c>
      <c r="D158" s="129" t="s">
        <v>974</v>
      </c>
      <c r="E158" s="258"/>
      <c r="F158" s="88">
        <f>0.255*17*1</f>
        <v>4.335</v>
      </c>
      <c r="G158" s="97">
        <v>1</v>
      </c>
      <c r="H158" s="144"/>
      <c r="J158" s="34"/>
      <c r="AQ158" s="123"/>
    </row>
    <row r="159" spans="1:43" s="122" customFormat="1" ht="13.8">
      <c r="A159" s="58" t="s">
        <v>191</v>
      </c>
      <c r="B159" s="44"/>
      <c r="C159" s="145" t="s">
        <v>975</v>
      </c>
      <c r="D159" s="129" t="s">
        <v>974</v>
      </c>
      <c r="E159" s="258"/>
      <c r="F159" s="88">
        <f>0.255*17*1</f>
        <v>4.335</v>
      </c>
      <c r="G159" s="97">
        <v>1</v>
      </c>
      <c r="H159" s="144"/>
      <c r="J159" s="34"/>
      <c r="AQ159" s="123"/>
    </row>
    <row r="160" spans="1:43" s="122" customFormat="1" ht="13.8">
      <c r="A160" s="58" t="s">
        <v>193</v>
      </c>
      <c r="B160" s="44"/>
      <c r="C160" s="145" t="s">
        <v>976</v>
      </c>
      <c r="D160" s="129" t="s">
        <v>973</v>
      </c>
      <c r="E160" s="258"/>
      <c r="F160" s="88">
        <f>0.255*18*1</f>
        <v>4.59</v>
      </c>
      <c r="G160" s="97">
        <v>1</v>
      </c>
      <c r="H160" s="144"/>
      <c r="J160" s="34"/>
      <c r="AQ160" s="123"/>
    </row>
    <row r="161" spans="1:43" s="122" customFormat="1" ht="13.8">
      <c r="A161" s="58" t="s">
        <v>195</v>
      </c>
      <c r="B161" s="44"/>
      <c r="C161" s="145"/>
      <c r="D161" s="129"/>
      <c r="E161" s="258"/>
      <c r="F161" s="88"/>
      <c r="G161" s="97"/>
      <c r="H161" s="144"/>
      <c r="J161" s="34"/>
      <c r="AQ161" s="123"/>
    </row>
    <row r="162" spans="1:43" s="122" customFormat="1" ht="13.8">
      <c r="A162" s="58" t="s">
        <v>197</v>
      </c>
      <c r="B162" s="44"/>
      <c r="C162" s="141" t="s">
        <v>962</v>
      </c>
      <c r="D162" s="143" t="s">
        <v>1373</v>
      </c>
      <c r="E162" s="258"/>
      <c r="F162" s="88"/>
      <c r="G162" s="97"/>
      <c r="H162" s="144"/>
      <c r="J162" s="34"/>
      <c r="AQ162" s="123"/>
    </row>
    <row r="163" spans="1:43" s="122" customFormat="1" ht="13.8">
      <c r="A163" s="58" t="s">
        <v>199</v>
      </c>
      <c r="B163" s="44"/>
      <c r="C163" s="145" t="s">
        <v>178</v>
      </c>
      <c r="D163" s="129" t="s">
        <v>986</v>
      </c>
      <c r="E163" s="258"/>
      <c r="F163" s="88">
        <f>0.255*24*3</f>
        <v>18.36</v>
      </c>
      <c r="G163" s="97">
        <v>3</v>
      </c>
      <c r="H163" s="144"/>
      <c r="J163" s="34"/>
      <c r="AQ163" s="123"/>
    </row>
    <row r="164" spans="1:43" s="122" customFormat="1" ht="13.8">
      <c r="A164" s="58" t="s">
        <v>201</v>
      </c>
      <c r="B164" s="44"/>
      <c r="C164" s="145" t="s">
        <v>175</v>
      </c>
      <c r="D164" s="129" t="s">
        <v>988</v>
      </c>
      <c r="E164" s="258"/>
      <c r="F164" s="88">
        <f>0.255*18*2</f>
        <v>9.18</v>
      </c>
      <c r="G164" s="97">
        <v>2</v>
      </c>
      <c r="H164" s="144"/>
      <c r="J164" s="34"/>
      <c r="AQ164" s="123"/>
    </row>
    <row r="165" spans="1:43" s="122" customFormat="1" ht="13.8">
      <c r="A165" s="58" t="s">
        <v>203</v>
      </c>
      <c r="B165" s="44"/>
      <c r="C165" s="145" t="s">
        <v>174</v>
      </c>
      <c r="D165" s="129" t="s">
        <v>250</v>
      </c>
      <c r="E165" s="258"/>
      <c r="F165" s="88">
        <f>0.255*14*1</f>
        <v>3.5700000000000003</v>
      </c>
      <c r="G165" s="97">
        <v>1</v>
      </c>
      <c r="H165" s="144"/>
      <c r="J165" s="34"/>
      <c r="AQ165" s="123"/>
    </row>
    <row r="166" spans="1:43" s="122" customFormat="1" ht="13.8">
      <c r="A166" s="58" t="s">
        <v>205</v>
      </c>
      <c r="B166" s="44"/>
      <c r="C166" s="145" t="s">
        <v>445</v>
      </c>
      <c r="D166" s="129" t="s">
        <v>989</v>
      </c>
      <c r="E166" s="258"/>
      <c r="F166" s="88">
        <f>0.255*20*1</f>
        <v>5.0999999999999996</v>
      </c>
      <c r="G166" s="97">
        <v>1</v>
      </c>
      <c r="H166" s="144"/>
      <c r="J166" s="34"/>
      <c r="AQ166" s="123"/>
    </row>
    <row r="167" spans="1:43" s="122" customFormat="1" ht="13.8">
      <c r="A167" s="58" t="s">
        <v>206</v>
      </c>
      <c r="B167" s="44"/>
      <c r="C167" s="145" t="s">
        <v>172</v>
      </c>
      <c r="D167" s="129" t="s">
        <v>250</v>
      </c>
      <c r="E167" s="258"/>
      <c r="F167" s="88">
        <f>0.255*14*1</f>
        <v>3.5700000000000003</v>
      </c>
      <c r="G167" s="97">
        <v>1</v>
      </c>
      <c r="H167" s="144"/>
      <c r="J167" s="34"/>
      <c r="AQ167" s="123"/>
    </row>
    <row r="168" spans="1:43" s="122" customFormat="1" ht="13.8">
      <c r="A168" s="58" t="s">
        <v>207</v>
      </c>
      <c r="B168" s="44"/>
      <c r="C168" s="145" t="s">
        <v>171</v>
      </c>
      <c r="D168" s="129" t="s">
        <v>989</v>
      </c>
      <c r="E168" s="258"/>
      <c r="F168" s="88">
        <f>0.255*20*1</f>
        <v>5.0999999999999996</v>
      </c>
      <c r="G168" s="97">
        <v>1</v>
      </c>
      <c r="H168" s="144"/>
      <c r="J168" s="34"/>
      <c r="AQ168" s="123"/>
    </row>
    <row r="169" spans="1:43" s="122" customFormat="1" ht="13.8">
      <c r="A169" s="58" t="s">
        <v>208</v>
      </c>
      <c r="B169" s="44"/>
      <c r="C169" s="145" t="s">
        <v>170</v>
      </c>
      <c r="D169" s="129" t="s">
        <v>990</v>
      </c>
      <c r="E169" s="258"/>
      <c r="F169" s="88">
        <f>0.255*17*1</f>
        <v>4.335</v>
      </c>
      <c r="G169" s="97">
        <v>1</v>
      </c>
      <c r="H169" s="144"/>
      <c r="J169" s="34"/>
      <c r="AQ169" s="123"/>
    </row>
    <row r="170" spans="1:43" s="122" customFormat="1" ht="13.8">
      <c r="A170" s="58" t="s">
        <v>209</v>
      </c>
      <c r="B170" s="44"/>
      <c r="C170" s="145" t="s">
        <v>169</v>
      </c>
      <c r="D170" s="129" t="s">
        <v>987</v>
      </c>
      <c r="E170" s="258"/>
      <c r="F170" s="88">
        <f>0.255*18*1</f>
        <v>4.59</v>
      </c>
      <c r="G170" s="97">
        <v>1</v>
      </c>
      <c r="H170" s="144"/>
      <c r="J170" s="34"/>
      <c r="AQ170" s="123"/>
    </row>
    <row r="171" spans="1:43" s="122" customFormat="1" ht="13.8">
      <c r="A171" s="58" t="s">
        <v>210</v>
      </c>
      <c r="B171" s="44"/>
      <c r="C171" s="145" t="s">
        <v>166</v>
      </c>
      <c r="D171" s="129" t="s">
        <v>987</v>
      </c>
      <c r="E171" s="258"/>
      <c r="F171" s="88">
        <f>0.255*18*1</f>
        <v>4.59</v>
      </c>
      <c r="G171" s="97">
        <v>1</v>
      </c>
      <c r="H171" s="144"/>
      <c r="J171" s="34"/>
      <c r="AQ171" s="123"/>
    </row>
    <row r="172" spans="1:43" s="122" customFormat="1" ht="13.8">
      <c r="A172" s="58" t="s">
        <v>211</v>
      </c>
      <c r="B172" s="44"/>
      <c r="C172" s="145"/>
      <c r="D172" s="129"/>
      <c r="E172" s="258"/>
      <c r="F172" s="88"/>
      <c r="G172" s="97"/>
      <c r="H172" s="144"/>
      <c r="J172" s="34"/>
      <c r="AQ172" s="123"/>
    </row>
    <row r="173" spans="1:43" s="122" customFormat="1" ht="13.8">
      <c r="A173" s="58" t="s">
        <v>212</v>
      </c>
      <c r="B173" s="44"/>
      <c r="C173" s="141" t="s">
        <v>962</v>
      </c>
      <c r="D173" s="143" t="s">
        <v>1374</v>
      </c>
      <c r="E173" s="258"/>
      <c r="F173" s="88"/>
      <c r="G173" s="97"/>
      <c r="H173" s="144"/>
      <c r="J173" s="34"/>
      <c r="AQ173" s="123"/>
    </row>
    <row r="174" spans="1:43" s="122" customFormat="1" ht="13.8">
      <c r="A174" s="58" t="s">
        <v>214</v>
      </c>
      <c r="B174" s="44"/>
      <c r="C174" s="145" t="s">
        <v>345</v>
      </c>
      <c r="D174" s="129" t="s">
        <v>998</v>
      </c>
      <c r="E174" s="258"/>
      <c r="F174" s="88">
        <f>0.255*22*3</f>
        <v>16.830000000000002</v>
      </c>
      <c r="G174" s="97">
        <v>3</v>
      </c>
      <c r="H174" s="144"/>
      <c r="J174" s="34"/>
      <c r="AQ174" s="123"/>
    </row>
    <row r="175" spans="1:43" s="122" customFormat="1" ht="13.8">
      <c r="A175" s="58" t="s">
        <v>215</v>
      </c>
      <c r="B175" s="44"/>
      <c r="C175" s="145" t="s">
        <v>344</v>
      </c>
      <c r="D175" s="129" t="s">
        <v>990</v>
      </c>
      <c r="E175" s="258"/>
      <c r="F175" s="88">
        <f>0.255*17*1</f>
        <v>4.335</v>
      </c>
      <c r="G175" s="97">
        <v>1</v>
      </c>
      <c r="H175" s="144"/>
      <c r="J175" s="34"/>
      <c r="AQ175" s="123"/>
    </row>
    <row r="176" spans="1:43" s="122" customFormat="1" ht="13.8">
      <c r="A176" s="58" t="s">
        <v>217</v>
      </c>
      <c r="B176" s="44"/>
      <c r="C176" s="145" t="s">
        <v>343</v>
      </c>
      <c r="D176" s="129" t="s">
        <v>990</v>
      </c>
      <c r="E176" s="258"/>
      <c r="F176" s="88">
        <f>0.255*17*1</f>
        <v>4.335</v>
      </c>
      <c r="G176" s="97">
        <v>1</v>
      </c>
      <c r="H176" s="144"/>
      <c r="J176" s="34"/>
      <c r="AQ176" s="123"/>
    </row>
    <row r="177" spans="1:43" s="122" customFormat="1" ht="13.8">
      <c r="A177" s="58" t="s">
        <v>219</v>
      </c>
      <c r="B177" s="44"/>
      <c r="C177" s="145" t="s">
        <v>532</v>
      </c>
      <c r="D177" s="129" t="s">
        <v>990</v>
      </c>
      <c r="E177" s="258"/>
      <c r="F177" s="88">
        <f t="shared" ref="F177:F179" si="3">0.255*17*1</f>
        <v>4.335</v>
      </c>
      <c r="G177" s="97">
        <v>1</v>
      </c>
      <c r="H177" s="144"/>
      <c r="J177" s="34"/>
      <c r="AQ177" s="123"/>
    </row>
    <row r="178" spans="1:43" s="122" customFormat="1" ht="13.8">
      <c r="A178" s="58" t="s">
        <v>221</v>
      </c>
      <c r="B178" s="44"/>
      <c r="C178" s="145" t="s">
        <v>530</v>
      </c>
      <c r="D178" s="129" t="s">
        <v>999</v>
      </c>
      <c r="E178" s="258"/>
      <c r="F178" s="88">
        <f>0.255*16*1</f>
        <v>4.08</v>
      </c>
      <c r="G178" s="97">
        <v>1</v>
      </c>
      <c r="H178" s="144"/>
      <c r="J178" s="34"/>
      <c r="AQ178" s="123"/>
    </row>
    <row r="179" spans="1:43" s="122" customFormat="1" ht="13.8">
      <c r="A179" s="58" t="s">
        <v>223</v>
      </c>
      <c r="B179" s="44"/>
      <c r="C179" s="145" t="s">
        <v>528</v>
      </c>
      <c r="D179" s="129" t="s">
        <v>990</v>
      </c>
      <c r="E179" s="258"/>
      <c r="F179" s="88">
        <f t="shared" si="3"/>
        <v>4.335</v>
      </c>
      <c r="G179" s="97">
        <v>1</v>
      </c>
      <c r="H179" s="144"/>
      <c r="J179" s="34"/>
      <c r="AQ179" s="123"/>
    </row>
    <row r="180" spans="1:43" s="122" customFormat="1" ht="13.8">
      <c r="A180" s="58" t="s">
        <v>225</v>
      </c>
      <c r="B180" s="44"/>
      <c r="C180" s="145" t="s">
        <v>339</v>
      </c>
      <c r="D180" s="129" t="s">
        <v>1000</v>
      </c>
      <c r="E180" s="258"/>
      <c r="F180" s="88">
        <f>0.255*16*2</f>
        <v>8.16</v>
      </c>
      <c r="G180" s="97">
        <v>2</v>
      </c>
      <c r="H180" s="144"/>
      <c r="J180" s="34"/>
      <c r="AQ180" s="123"/>
    </row>
    <row r="181" spans="1:43" s="122" customFormat="1" ht="13.8">
      <c r="A181" s="58" t="s">
        <v>227</v>
      </c>
      <c r="B181" s="44"/>
      <c r="C181" s="145" t="s">
        <v>338</v>
      </c>
      <c r="D181" s="129" t="s">
        <v>1321</v>
      </c>
      <c r="E181" s="258"/>
      <c r="F181" s="88">
        <f>0.255*16*3</f>
        <v>12.24</v>
      </c>
      <c r="G181" s="97">
        <v>3</v>
      </c>
      <c r="H181" s="144"/>
      <c r="J181" s="34"/>
      <c r="AQ181" s="123"/>
    </row>
    <row r="182" spans="1:43" s="122" customFormat="1" ht="13.8">
      <c r="A182" s="58" t="s">
        <v>229</v>
      </c>
      <c r="B182" s="44"/>
      <c r="C182" s="145"/>
      <c r="D182" s="143"/>
      <c r="E182" s="258"/>
      <c r="F182" s="88"/>
      <c r="G182" s="97"/>
      <c r="H182" s="144"/>
      <c r="J182" s="34"/>
      <c r="AQ182" s="123"/>
    </row>
    <row r="183" spans="1:43" s="122" customFormat="1" ht="13.8">
      <c r="A183" s="58" t="s">
        <v>230</v>
      </c>
      <c r="B183" s="44"/>
      <c r="C183" s="141" t="s">
        <v>962</v>
      </c>
      <c r="D183" s="143" t="s">
        <v>1375</v>
      </c>
      <c r="E183" s="258"/>
      <c r="F183" s="88"/>
      <c r="G183" s="97"/>
      <c r="H183" s="144"/>
      <c r="J183" s="34"/>
      <c r="AQ183" s="123"/>
    </row>
    <row r="184" spans="1:43" s="122" customFormat="1" ht="13.8">
      <c r="A184" s="58" t="s">
        <v>231</v>
      </c>
      <c r="B184" s="44"/>
      <c r="C184" s="145" t="s">
        <v>474</v>
      </c>
      <c r="D184" s="129" t="s">
        <v>1004</v>
      </c>
      <c r="E184" s="258"/>
      <c r="F184" s="88">
        <f>0.44*13*1</f>
        <v>5.72</v>
      </c>
      <c r="G184" s="97">
        <v>1</v>
      </c>
      <c r="H184" s="144"/>
      <c r="J184" s="34"/>
      <c r="AQ184" s="123"/>
    </row>
    <row r="185" spans="1:43" s="122" customFormat="1" ht="13.8">
      <c r="A185" s="58" t="s">
        <v>232</v>
      </c>
      <c r="B185" s="44"/>
      <c r="C185" s="145" t="s">
        <v>474</v>
      </c>
      <c r="D185" s="129" t="s">
        <v>1005</v>
      </c>
      <c r="E185" s="258"/>
      <c r="F185" s="88">
        <f>0.255*30*2</f>
        <v>15.3</v>
      </c>
      <c r="G185" s="97">
        <v>2</v>
      </c>
      <c r="H185" s="144"/>
      <c r="J185" s="34"/>
      <c r="AQ185" s="123"/>
    </row>
    <row r="186" spans="1:43" s="122" customFormat="1" ht="13.8">
      <c r="A186" s="58" t="s">
        <v>233</v>
      </c>
      <c r="B186" s="44"/>
      <c r="C186" s="145" t="s">
        <v>472</v>
      </c>
      <c r="D186" s="129" t="s">
        <v>1003</v>
      </c>
      <c r="E186" s="258"/>
      <c r="F186" s="88">
        <f>0.255*29*1</f>
        <v>7.3950000000000005</v>
      </c>
      <c r="G186" s="97">
        <v>1</v>
      </c>
      <c r="H186" s="144"/>
      <c r="J186" s="34"/>
      <c r="AQ186" s="123"/>
    </row>
    <row r="187" spans="1:43" s="122" customFormat="1" ht="13.8">
      <c r="A187" s="58" t="s">
        <v>234</v>
      </c>
      <c r="B187" s="44"/>
      <c r="C187" s="145" t="s">
        <v>470</v>
      </c>
      <c r="D187" s="129" t="s">
        <v>987</v>
      </c>
      <c r="E187" s="258"/>
      <c r="F187" s="88">
        <f>0.255*18*1</f>
        <v>4.59</v>
      </c>
      <c r="G187" s="97">
        <v>1</v>
      </c>
      <c r="H187" s="144"/>
      <c r="J187" s="34"/>
      <c r="AQ187" s="123"/>
    </row>
    <row r="188" spans="1:43" s="122" customFormat="1" ht="13.8">
      <c r="A188" s="58" t="s">
        <v>236</v>
      </c>
      <c r="B188" s="44"/>
      <c r="C188" s="145" t="s">
        <v>468</v>
      </c>
      <c r="D188" s="129" t="s">
        <v>1002</v>
      </c>
      <c r="E188" s="258"/>
      <c r="F188" s="88">
        <f>0.255*20*1</f>
        <v>5.0999999999999996</v>
      </c>
      <c r="G188" s="97">
        <v>1</v>
      </c>
      <c r="H188" s="144"/>
      <c r="J188" s="34"/>
      <c r="AQ188" s="123"/>
    </row>
    <row r="189" spans="1:43" s="122" customFormat="1" ht="13.8">
      <c r="A189" s="58" t="s">
        <v>238</v>
      </c>
      <c r="B189" s="44"/>
      <c r="C189" s="145" t="s">
        <v>466</v>
      </c>
      <c r="D189" s="129" t="s">
        <v>1002</v>
      </c>
      <c r="E189" s="258"/>
      <c r="F189" s="88">
        <f>0.255*20*1</f>
        <v>5.0999999999999996</v>
      </c>
      <c r="G189" s="97">
        <v>1</v>
      </c>
      <c r="H189" s="144"/>
      <c r="J189" s="34"/>
      <c r="AQ189" s="123"/>
    </row>
    <row r="190" spans="1:43" s="122" customFormat="1" ht="13.8">
      <c r="A190" s="58" t="s">
        <v>240</v>
      </c>
      <c r="B190" s="44"/>
      <c r="C190" s="145" t="s">
        <v>464</v>
      </c>
      <c r="D190" s="129" t="s">
        <v>987</v>
      </c>
      <c r="E190" s="258"/>
      <c r="F190" s="88">
        <f>0.255*18*1</f>
        <v>4.59</v>
      </c>
      <c r="G190" s="97">
        <v>1</v>
      </c>
      <c r="H190" s="144"/>
      <c r="J190" s="34"/>
      <c r="AQ190" s="123"/>
    </row>
    <row r="191" spans="1:43" s="122" customFormat="1" ht="13.8">
      <c r="A191" s="58" t="s">
        <v>241</v>
      </c>
      <c r="B191" s="44"/>
      <c r="C191" s="145" t="s">
        <v>463</v>
      </c>
      <c r="D191" s="129" t="s">
        <v>987</v>
      </c>
      <c r="E191" s="258"/>
      <c r="F191" s="88">
        <f>0.255*18*1</f>
        <v>4.59</v>
      </c>
      <c r="G191" s="97">
        <v>1</v>
      </c>
      <c r="H191" s="144"/>
      <c r="J191" s="34"/>
      <c r="AQ191" s="123"/>
    </row>
    <row r="192" spans="1:43" s="122" customFormat="1" ht="13.8">
      <c r="A192" s="58" t="s">
        <v>244</v>
      </c>
      <c r="B192" s="44"/>
      <c r="C192" s="145" t="s">
        <v>612</v>
      </c>
      <c r="D192" s="129" t="s">
        <v>1001</v>
      </c>
      <c r="E192" s="258"/>
      <c r="F192" s="88">
        <f>0.255*24*1</f>
        <v>6.12</v>
      </c>
      <c r="G192" s="97">
        <v>1</v>
      </c>
      <c r="H192" s="144"/>
      <c r="J192" s="34"/>
      <c r="AQ192" s="123"/>
    </row>
    <row r="193" spans="1:43" s="122" customFormat="1" ht="13.8">
      <c r="A193" s="58" t="s">
        <v>246</v>
      </c>
      <c r="B193" s="44"/>
      <c r="C193" s="145" t="s">
        <v>610</v>
      </c>
      <c r="D193" s="129" t="s">
        <v>987</v>
      </c>
      <c r="E193" s="258"/>
      <c r="F193" s="88">
        <f>0.255*18*1</f>
        <v>4.59</v>
      </c>
      <c r="G193" s="97">
        <v>1</v>
      </c>
      <c r="H193" s="144"/>
      <c r="J193" s="34"/>
      <c r="AQ193" s="123"/>
    </row>
    <row r="194" spans="1:43" s="122" customFormat="1" ht="13.8">
      <c r="A194" s="58" t="s">
        <v>249</v>
      </c>
      <c r="B194" s="44"/>
      <c r="C194" s="145" t="s">
        <v>608</v>
      </c>
      <c r="D194" s="129" t="s">
        <v>997</v>
      </c>
      <c r="E194" s="258"/>
      <c r="F194" s="88">
        <f>0.255*22*1</f>
        <v>5.61</v>
      </c>
      <c r="G194" s="97">
        <v>1</v>
      </c>
      <c r="H194" s="144"/>
      <c r="J194" s="34"/>
      <c r="AQ194" s="123"/>
    </row>
    <row r="195" spans="1:43" s="122" customFormat="1" ht="13.8">
      <c r="A195" s="58" t="s">
        <v>251</v>
      </c>
      <c r="B195" s="44"/>
      <c r="C195" s="141"/>
      <c r="D195" s="143"/>
      <c r="E195" s="258"/>
      <c r="F195" s="88"/>
      <c r="G195" s="97"/>
      <c r="H195" s="144"/>
      <c r="J195" s="34"/>
      <c r="AQ195" s="123"/>
    </row>
    <row r="196" spans="1:43" s="122" customFormat="1" ht="13.8">
      <c r="A196" s="58" t="s">
        <v>253</v>
      </c>
      <c r="B196" s="44"/>
      <c r="C196" s="141"/>
      <c r="D196" s="107"/>
      <c r="E196" s="258"/>
      <c r="F196" s="88"/>
      <c r="G196" s="97"/>
      <c r="H196" s="144"/>
      <c r="J196" s="34"/>
      <c r="AQ196" s="123"/>
    </row>
    <row r="197" spans="1:43" s="122" customFormat="1" ht="13.8">
      <c r="A197" s="58" t="s">
        <v>255</v>
      </c>
      <c r="B197" s="44"/>
      <c r="C197" s="145"/>
      <c r="D197" s="140" t="s">
        <v>1376</v>
      </c>
      <c r="E197" s="258"/>
      <c r="F197" s="88"/>
      <c r="G197" s="97"/>
      <c r="H197" s="144"/>
      <c r="J197" s="34"/>
      <c r="AQ197" s="123"/>
    </row>
    <row r="198" spans="1:43" s="122" customFormat="1" ht="13.8">
      <c r="A198" s="58" t="s">
        <v>256</v>
      </c>
      <c r="B198" s="44"/>
      <c r="C198" s="145"/>
      <c r="D198" s="107" t="s">
        <v>1377</v>
      </c>
      <c r="E198" s="258"/>
      <c r="F198" s="88"/>
      <c r="G198" s="97"/>
      <c r="H198" s="144"/>
      <c r="J198" s="34"/>
      <c r="AQ198" s="123"/>
    </row>
    <row r="199" spans="1:43" s="122" customFormat="1" ht="13.8">
      <c r="A199" s="58" t="s">
        <v>258</v>
      </c>
      <c r="B199" s="44"/>
      <c r="C199" s="141" t="s">
        <v>962</v>
      </c>
      <c r="D199" s="143" t="s">
        <v>1378</v>
      </c>
      <c r="E199" s="258"/>
      <c r="F199" s="88"/>
      <c r="G199" s="97"/>
      <c r="H199" s="144"/>
      <c r="J199" s="34"/>
      <c r="AQ199" s="123"/>
    </row>
    <row r="200" spans="1:43" s="122" customFormat="1" ht="13.8">
      <c r="A200" s="58" t="s">
        <v>260</v>
      </c>
      <c r="B200" s="44"/>
      <c r="C200" s="145" t="s">
        <v>254</v>
      </c>
      <c r="D200" s="129" t="s">
        <v>967</v>
      </c>
      <c r="E200" s="258"/>
      <c r="F200" s="88">
        <f>0.255*22*4</f>
        <v>22.44</v>
      </c>
      <c r="G200" s="97">
        <v>4</v>
      </c>
      <c r="H200" s="144"/>
      <c r="J200" s="34"/>
      <c r="AQ200" s="123"/>
    </row>
    <row r="201" spans="1:43" s="122" customFormat="1" ht="13.8">
      <c r="A201" s="58" t="s">
        <v>263</v>
      </c>
      <c r="B201" s="44"/>
      <c r="C201" s="145" t="s">
        <v>254</v>
      </c>
      <c r="D201" s="129" t="s">
        <v>252</v>
      </c>
      <c r="E201" s="258"/>
      <c r="F201" s="88">
        <f>0.255*24*1</f>
        <v>6.12</v>
      </c>
      <c r="G201" s="97">
        <v>1</v>
      </c>
      <c r="H201" s="144"/>
      <c r="J201" s="34"/>
      <c r="AQ201" s="123"/>
    </row>
    <row r="202" spans="1:43" s="122" customFormat="1" ht="13.8">
      <c r="A202" s="58" t="s">
        <v>264</v>
      </c>
      <c r="B202" s="44"/>
      <c r="C202" s="145" t="s">
        <v>247</v>
      </c>
      <c r="D202" s="129" t="s">
        <v>961</v>
      </c>
      <c r="E202" s="258"/>
      <c r="F202" s="88">
        <f>0.255*12*2</f>
        <v>6.12</v>
      </c>
      <c r="G202" s="97">
        <v>2</v>
      </c>
      <c r="H202" s="144"/>
      <c r="J202" s="34"/>
      <c r="AQ202" s="123"/>
    </row>
    <row r="203" spans="1:43" s="122" customFormat="1" ht="13.8">
      <c r="A203" s="58" t="s">
        <v>266</v>
      </c>
      <c r="B203" s="44"/>
      <c r="C203" s="145" t="s">
        <v>247</v>
      </c>
      <c r="D203" s="129" t="s">
        <v>250</v>
      </c>
      <c r="E203" s="258"/>
      <c r="F203" s="88">
        <f>0.255*14*1</f>
        <v>3.5700000000000003</v>
      </c>
      <c r="G203" s="97">
        <v>1</v>
      </c>
      <c r="H203" s="144"/>
      <c r="J203" s="34"/>
      <c r="AQ203" s="123"/>
    </row>
    <row r="204" spans="1:43" s="122" customFormat="1" ht="13.8">
      <c r="A204" s="58" t="s">
        <v>268</v>
      </c>
      <c r="B204" s="44"/>
      <c r="C204" s="145" t="s">
        <v>245</v>
      </c>
      <c r="D204" s="129" t="s">
        <v>968</v>
      </c>
      <c r="E204" s="258"/>
      <c r="F204" s="88">
        <f>0.205*10*1</f>
        <v>2.0499999999999998</v>
      </c>
      <c r="G204" s="97">
        <v>1</v>
      </c>
      <c r="H204" s="144"/>
      <c r="J204" s="34"/>
      <c r="AQ204" s="123"/>
    </row>
    <row r="205" spans="1:43" s="122" customFormat="1" ht="13.8">
      <c r="A205" s="58" t="s">
        <v>271</v>
      </c>
      <c r="B205" s="44"/>
      <c r="C205" s="145" t="s">
        <v>242</v>
      </c>
      <c r="D205" s="129" t="s">
        <v>243</v>
      </c>
      <c r="E205" s="258"/>
      <c r="F205" s="88">
        <f>0.44*10*1</f>
        <v>4.4000000000000004</v>
      </c>
      <c r="G205" s="97">
        <v>1</v>
      </c>
      <c r="H205" s="144"/>
      <c r="J205" s="34"/>
      <c r="AQ205" s="123"/>
    </row>
    <row r="206" spans="1:43" s="122" customFormat="1" ht="13.8">
      <c r="A206" s="58" t="s">
        <v>274</v>
      </c>
      <c r="B206" s="44"/>
      <c r="C206" s="145" t="s">
        <v>175</v>
      </c>
      <c r="D206" s="129" t="s">
        <v>969</v>
      </c>
      <c r="E206" s="258"/>
      <c r="F206" s="88">
        <f>0.44*12*1</f>
        <v>5.28</v>
      </c>
      <c r="G206" s="97">
        <v>1</v>
      </c>
      <c r="H206" s="144"/>
      <c r="J206" s="34"/>
      <c r="AQ206" s="123"/>
    </row>
    <row r="207" spans="1:43" s="122" customFormat="1" ht="13.8">
      <c r="A207" s="58" t="s">
        <v>277</v>
      </c>
      <c r="B207" s="44"/>
      <c r="C207" s="145" t="s">
        <v>178</v>
      </c>
      <c r="D207" s="129" t="s">
        <v>969</v>
      </c>
      <c r="E207" s="258"/>
      <c r="F207" s="88">
        <f>0.44*12*1</f>
        <v>5.28</v>
      </c>
      <c r="G207" s="97">
        <v>1</v>
      </c>
      <c r="H207" s="144"/>
      <c r="J207" s="34"/>
      <c r="AQ207" s="123"/>
    </row>
    <row r="208" spans="1:43" s="122" customFormat="1" ht="13.8">
      <c r="A208" s="58" t="s">
        <v>279</v>
      </c>
      <c r="B208" s="44"/>
      <c r="C208" s="145"/>
      <c r="D208" s="88"/>
      <c r="E208" s="258"/>
      <c r="F208" s="138"/>
      <c r="G208" s="97"/>
      <c r="H208" s="144"/>
      <c r="J208" s="34"/>
      <c r="AQ208" s="123"/>
    </row>
    <row r="209" spans="1:43" s="122" customFormat="1" ht="13.8">
      <c r="A209" s="58" t="s">
        <v>281</v>
      </c>
      <c r="B209" s="44"/>
      <c r="C209" s="141" t="s">
        <v>962</v>
      </c>
      <c r="D209" s="143" t="s">
        <v>1379</v>
      </c>
      <c r="E209" s="258"/>
      <c r="F209" s="138"/>
      <c r="G209" s="97"/>
      <c r="H209" s="144"/>
      <c r="J209" s="34"/>
      <c r="AQ209" s="123"/>
    </row>
    <row r="210" spans="1:43" s="122" customFormat="1" ht="13.8">
      <c r="A210" s="58" t="s">
        <v>283</v>
      </c>
      <c r="B210" s="44"/>
      <c r="C210" s="145" t="s">
        <v>358</v>
      </c>
      <c r="D210" s="129" t="s">
        <v>250</v>
      </c>
      <c r="E210" s="258"/>
      <c r="F210" s="88">
        <f>0.255*14*1</f>
        <v>3.5700000000000003</v>
      </c>
      <c r="G210" s="97">
        <v>1</v>
      </c>
      <c r="H210" s="144"/>
      <c r="J210" s="34"/>
      <c r="AQ210" s="123"/>
    </row>
    <row r="211" spans="1:43" s="122" customFormat="1" ht="13.8">
      <c r="A211" s="58" t="s">
        <v>284</v>
      </c>
      <c r="B211" s="44"/>
      <c r="C211" s="145" t="s">
        <v>980</v>
      </c>
      <c r="D211" s="129" t="s">
        <v>978</v>
      </c>
      <c r="E211" s="258"/>
      <c r="F211" s="88">
        <f>0.255*19*1</f>
        <v>4.8449999999999998</v>
      </c>
      <c r="G211" s="97">
        <v>1</v>
      </c>
      <c r="H211" s="144"/>
      <c r="J211" s="34"/>
      <c r="AQ211" s="123"/>
    </row>
    <row r="212" spans="1:43" s="122" customFormat="1" ht="13.8">
      <c r="A212" s="58" t="s">
        <v>286</v>
      </c>
      <c r="B212" s="44"/>
      <c r="C212" s="145" t="s">
        <v>355</v>
      </c>
      <c r="D212" s="129" t="s">
        <v>250</v>
      </c>
      <c r="E212" s="258"/>
      <c r="F212" s="88">
        <f>0.255*14*1</f>
        <v>3.5700000000000003</v>
      </c>
      <c r="G212" s="97">
        <v>1</v>
      </c>
      <c r="H212" s="144"/>
      <c r="J212" s="34"/>
      <c r="AQ212" s="123"/>
    </row>
    <row r="213" spans="1:43" s="122" customFormat="1" ht="13.8">
      <c r="A213" s="58" t="s">
        <v>288</v>
      </c>
      <c r="B213" s="44"/>
      <c r="C213" s="145" t="s">
        <v>353</v>
      </c>
      <c r="D213" s="129" t="s">
        <v>978</v>
      </c>
      <c r="E213" s="258"/>
      <c r="F213" s="88">
        <f>0.255*19*1</f>
        <v>4.8449999999999998</v>
      </c>
      <c r="G213" s="97">
        <v>1</v>
      </c>
      <c r="H213" s="144"/>
      <c r="J213" s="34"/>
      <c r="AQ213" s="123"/>
    </row>
    <row r="214" spans="1:43" s="122" customFormat="1" ht="13.8">
      <c r="A214" s="58" t="s">
        <v>290</v>
      </c>
      <c r="B214" s="44"/>
      <c r="C214" s="145" t="s">
        <v>979</v>
      </c>
      <c r="D214" s="129" t="s">
        <v>978</v>
      </c>
      <c r="E214" s="258"/>
      <c r="F214" s="88">
        <f>0.255*19*1</f>
        <v>4.8449999999999998</v>
      </c>
      <c r="G214" s="97">
        <v>1</v>
      </c>
      <c r="H214" s="144"/>
      <c r="J214" s="34"/>
      <c r="AQ214" s="123"/>
    </row>
    <row r="215" spans="1:43" s="122" customFormat="1" ht="13.8">
      <c r="A215" s="58" t="s">
        <v>292</v>
      </c>
      <c r="B215" s="44"/>
      <c r="C215" s="145" t="s">
        <v>981</v>
      </c>
      <c r="D215" s="129" t="s">
        <v>978</v>
      </c>
      <c r="E215" s="258"/>
      <c r="F215" s="88">
        <f>0.255*19*1</f>
        <v>4.8449999999999998</v>
      </c>
      <c r="G215" s="97">
        <v>1</v>
      </c>
      <c r="H215" s="144"/>
      <c r="J215" s="34"/>
      <c r="AQ215" s="123"/>
    </row>
    <row r="216" spans="1:43" s="122" customFormat="1" ht="13.8">
      <c r="A216" s="58" t="s">
        <v>295</v>
      </c>
      <c r="B216" s="44"/>
      <c r="C216" s="145" t="s">
        <v>982</v>
      </c>
      <c r="D216" s="129" t="s">
        <v>978</v>
      </c>
      <c r="E216" s="258"/>
      <c r="F216" s="88">
        <f>0.255*19*1</f>
        <v>4.8449999999999998</v>
      </c>
      <c r="G216" s="97">
        <v>1</v>
      </c>
      <c r="H216" s="144"/>
      <c r="J216" s="34"/>
      <c r="AQ216" s="123"/>
    </row>
    <row r="217" spans="1:43" s="122" customFormat="1" ht="13.8">
      <c r="A217" s="58" t="s">
        <v>297</v>
      </c>
      <c r="B217" s="44"/>
      <c r="C217" s="147" t="s">
        <v>983</v>
      </c>
      <c r="D217" s="129" t="s">
        <v>973</v>
      </c>
      <c r="E217" s="258"/>
      <c r="F217" s="88">
        <f>0.255*18*1</f>
        <v>4.59</v>
      </c>
      <c r="G217" s="97">
        <v>1</v>
      </c>
      <c r="H217" s="144"/>
      <c r="J217" s="34"/>
      <c r="AQ217" s="123"/>
    </row>
    <row r="218" spans="1:43" s="122" customFormat="1" ht="13.8">
      <c r="A218" s="58" t="s">
        <v>299</v>
      </c>
      <c r="B218" s="44"/>
      <c r="C218" s="145" t="s">
        <v>348</v>
      </c>
      <c r="D218" s="129" t="s">
        <v>973</v>
      </c>
      <c r="E218" s="258"/>
      <c r="F218" s="88">
        <f>0.255*18*1</f>
        <v>4.59</v>
      </c>
      <c r="G218" s="97">
        <v>1</v>
      </c>
      <c r="H218" s="144"/>
      <c r="J218" s="34"/>
      <c r="AQ218" s="123"/>
    </row>
    <row r="219" spans="1:43" s="122" customFormat="1" ht="13.8">
      <c r="A219" s="58" t="s">
        <v>300</v>
      </c>
      <c r="B219" s="44"/>
      <c r="C219" s="145" t="s">
        <v>984</v>
      </c>
      <c r="D219" s="129" t="s">
        <v>985</v>
      </c>
      <c r="E219" s="258"/>
      <c r="F219" s="88">
        <f>0.185*20*3</f>
        <v>11.100000000000001</v>
      </c>
      <c r="G219" s="97">
        <v>3</v>
      </c>
      <c r="H219" s="144"/>
      <c r="J219" s="34"/>
      <c r="AQ219" s="123"/>
    </row>
    <row r="220" spans="1:43" s="122" customFormat="1" ht="13.8">
      <c r="A220" s="58" t="s">
        <v>302</v>
      </c>
      <c r="B220" s="44"/>
      <c r="C220" s="145"/>
      <c r="D220" s="129"/>
      <c r="E220" s="258"/>
      <c r="F220" s="88"/>
      <c r="G220" s="97"/>
      <c r="H220" s="144"/>
      <c r="J220" s="34"/>
      <c r="AQ220" s="123"/>
    </row>
    <row r="221" spans="1:43" s="122" customFormat="1" ht="13.8">
      <c r="A221" s="58" t="s">
        <v>303</v>
      </c>
      <c r="B221" s="44"/>
      <c r="C221" s="141" t="s">
        <v>962</v>
      </c>
      <c r="D221" s="143" t="s">
        <v>1380</v>
      </c>
      <c r="E221" s="258"/>
      <c r="F221" s="88"/>
      <c r="G221" s="97"/>
      <c r="H221" s="144"/>
      <c r="J221" s="34"/>
      <c r="AQ221" s="123"/>
    </row>
    <row r="222" spans="1:43" s="122" customFormat="1" ht="13.8">
      <c r="A222" s="58" t="s">
        <v>305</v>
      </c>
      <c r="B222" s="44"/>
      <c r="C222" s="145" t="s">
        <v>165</v>
      </c>
      <c r="D222" s="129" t="s">
        <v>262</v>
      </c>
      <c r="E222" s="258"/>
      <c r="F222" s="88">
        <f>0.255*16*1</f>
        <v>4.08</v>
      </c>
      <c r="G222" s="97">
        <v>1</v>
      </c>
      <c r="H222" s="144"/>
      <c r="J222" s="34"/>
      <c r="AQ222" s="123"/>
    </row>
    <row r="223" spans="1:43" s="122" customFormat="1" ht="13.8">
      <c r="A223" s="58" t="s">
        <v>306</v>
      </c>
      <c r="B223" s="44"/>
      <c r="C223" s="145" t="s">
        <v>164</v>
      </c>
      <c r="D223" s="129" t="s">
        <v>262</v>
      </c>
      <c r="E223" s="258"/>
      <c r="F223" s="88">
        <f>0.255*16*1</f>
        <v>4.08</v>
      </c>
      <c r="G223" s="97">
        <v>1</v>
      </c>
      <c r="H223" s="144"/>
      <c r="J223" s="34"/>
      <c r="AQ223" s="123"/>
    </row>
    <row r="224" spans="1:43" s="122" customFormat="1" ht="13.8">
      <c r="A224" s="58" t="s">
        <v>308</v>
      </c>
      <c r="B224" s="44"/>
      <c r="C224" s="145" t="s">
        <v>436</v>
      </c>
      <c r="D224" s="129" t="s">
        <v>262</v>
      </c>
      <c r="E224" s="258"/>
      <c r="F224" s="88">
        <f>0.255*16*1</f>
        <v>4.08</v>
      </c>
      <c r="G224" s="97">
        <v>1</v>
      </c>
      <c r="H224" s="144"/>
      <c r="J224" s="34"/>
      <c r="AQ224" s="123"/>
    </row>
    <row r="225" spans="1:43" s="122" customFormat="1" ht="13.8">
      <c r="A225" s="58" t="s">
        <v>310</v>
      </c>
      <c r="B225" s="44"/>
      <c r="C225" s="145" t="s">
        <v>434</v>
      </c>
      <c r="D225" s="129" t="s">
        <v>974</v>
      </c>
      <c r="E225" s="258"/>
      <c r="F225" s="88">
        <f>0.255*17*1</f>
        <v>4.335</v>
      </c>
      <c r="G225" s="97">
        <v>1</v>
      </c>
      <c r="H225" s="144"/>
      <c r="J225" s="34"/>
      <c r="AQ225" s="123"/>
    </row>
    <row r="226" spans="1:43" s="122" customFormat="1" ht="13.8">
      <c r="A226" s="58" t="s">
        <v>312</v>
      </c>
      <c r="B226" s="44"/>
      <c r="C226" s="145" t="s">
        <v>161</v>
      </c>
      <c r="D226" s="129" t="s">
        <v>973</v>
      </c>
      <c r="E226" s="258"/>
      <c r="F226" s="88">
        <f>0.255*18*1</f>
        <v>4.59</v>
      </c>
      <c r="G226" s="97">
        <v>1</v>
      </c>
      <c r="H226" s="144"/>
      <c r="J226" s="34"/>
      <c r="AQ226" s="123"/>
    </row>
    <row r="227" spans="1:43" s="122" customFormat="1" ht="13.8">
      <c r="A227" s="58" t="s">
        <v>314</v>
      </c>
      <c r="B227" s="44"/>
      <c r="C227" s="145" t="s">
        <v>159</v>
      </c>
      <c r="D227" s="129" t="s">
        <v>993</v>
      </c>
      <c r="E227" s="258"/>
      <c r="F227" s="88">
        <f>0.255*16*3</f>
        <v>12.24</v>
      </c>
      <c r="G227" s="97">
        <v>3</v>
      </c>
      <c r="H227" s="144"/>
      <c r="J227" s="34"/>
      <c r="AQ227" s="123"/>
    </row>
    <row r="228" spans="1:43" s="122" customFormat="1" ht="13.8">
      <c r="A228" s="58" t="s">
        <v>315</v>
      </c>
      <c r="B228" s="44"/>
      <c r="C228" s="145" t="s">
        <v>157</v>
      </c>
      <c r="D228" s="129" t="s">
        <v>992</v>
      </c>
      <c r="E228" s="258"/>
      <c r="F228" s="88">
        <f>0.255*28*1</f>
        <v>7.1400000000000006</v>
      </c>
      <c r="G228" s="97">
        <v>1</v>
      </c>
      <c r="H228" s="144"/>
      <c r="J228" s="34"/>
      <c r="AQ228" s="123"/>
    </row>
    <row r="229" spans="1:43" s="122" customFormat="1" ht="13.8">
      <c r="A229" s="58" t="s">
        <v>317</v>
      </c>
      <c r="B229" s="44"/>
      <c r="C229" s="145" t="s">
        <v>156</v>
      </c>
      <c r="D229" s="129" t="s">
        <v>991</v>
      </c>
      <c r="E229" s="258"/>
      <c r="F229" s="88">
        <f>0.255*22*3</f>
        <v>16.830000000000002</v>
      </c>
      <c r="G229" s="97">
        <v>3</v>
      </c>
      <c r="H229" s="144"/>
      <c r="J229" s="34"/>
      <c r="AQ229" s="123"/>
    </row>
    <row r="230" spans="1:43" s="122" customFormat="1" ht="13.8">
      <c r="A230" s="58" t="s">
        <v>319</v>
      </c>
      <c r="B230" s="44"/>
      <c r="C230" s="145"/>
      <c r="D230" s="129"/>
      <c r="E230" s="258"/>
      <c r="F230" s="88"/>
      <c r="G230" s="97"/>
      <c r="H230" s="144"/>
      <c r="J230" s="34"/>
      <c r="AQ230" s="123"/>
    </row>
    <row r="231" spans="1:43" s="122" customFormat="1" ht="13.8">
      <c r="A231" s="58" t="s">
        <v>320</v>
      </c>
      <c r="B231" s="44"/>
      <c r="C231" s="141" t="s">
        <v>962</v>
      </c>
      <c r="D231" s="143" t="s">
        <v>1381</v>
      </c>
      <c r="E231" s="258"/>
      <c r="F231" s="88"/>
      <c r="G231" s="97"/>
      <c r="H231" s="144"/>
      <c r="J231" s="34"/>
      <c r="AQ231" s="123"/>
    </row>
    <row r="232" spans="1:43" s="122" customFormat="1" ht="13.8">
      <c r="A232" s="58" t="s">
        <v>321</v>
      </c>
      <c r="B232" s="44"/>
      <c r="C232" s="145" t="s">
        <v>337</v>
      </c>
      <c r="D232" s="129" t="s">
        <v>259</v>
      </c>
      <c r="E232" s="258"/>
      <c r="F232" s="88">
        <f>0.255*15*1</f>
        <v>3.8250000000000002</v>
      </c>
      <c r="G232" s="97">
        <v>1</v>
      </c>
      <c r="H232" s="144"/>
      <c r="J232" s="34"/>
      <c r="AQ232" s="123"/>
    </row>
    <row r="233" spans="1:43" s="122" customFormat="1" ht="13.8">
      <c r="A233" s="58" t="s">
        <v>322</v>
      </c>
      <c r="B233" s="44"/>
      <c r="C233" s="145" t="s">
        <v>336</v>
      </c>
      <c r="D233" s="129" t="s">
        <v>974</v>
      </c>
      <c r="E233" s="258"/>
      <c r="F233" s="88">
        <f>0.255*17*1</f>
        <v>4.335</v>
      </c>
      <c r="G233" s="97">
        <v>1</v>
      </c>
      <c r="H233" s="144"/>
      <c r="J233" s="34"/>
      <c r="AQ233" s="123"/>
    </row>
    <row r="234" spans="1:43" s="122" customFormat="1" ht="13.8">
      <c r="A234" s="58" t="s">
        <v>323</v>
      </c>
      <c r="B234" s="44"/>
      <c r="C234" s="145" t="s">
        <v>335</v>
      </c>
      <c r="D234" s="129" t="s">
        <v>262</v>
      </c>
      <c r="E234" s="258"/>
      <c r="F234" s="88">
        <f t="shared" ref="F234:F236" si="4">0.255*16*1</f>
        <v>4.08</v>
      </c>
      <c r="G234" s="97">
        <v>1</v>
      </c>
      <c r="H234" s="144"/>
      <c r="J234" s="34"/>
      <c r="AQ234" s="123"/>
    </row>
    <row r="235" spans="1:43" s="122" customFormat="1" ht="13.8">
      <c r="A235" s="58" t="s">
        <v>324</v>
      </c>
      <c r="B235" s="44"/>
      <c r="C235" s="145" t="s">
        <v>334</v>
      </c>
      <c r="D235" s="129" t="s">
        <v>262</v>
      </c>
      <c r="E235" s="258"/>
      <c r="F235" s="88">
        <f t="shared" si="4"/>
        <v>4.08</v>
      </c>
      <c r="G235" s="97">
        <v>1</v>
      </c>
      <c r="H235" s="144"/>
      <c r="J235" s="34"/>
      <c r="AQ235" s="123"/>
    </row>
    <row r="236" spans="1:43" s="122" customFormat="1" ht="13.8">
      <c r="A236" s="58" t="s">
        <v>325</v>
      </c>
      <c r="B236" s="44"/>
      <c r="C236" s="145" t="s">
        <v>332</v>
      </c>
      <c r="D236" s="129" t="s">
        <v>262</v>
      </c>
      <c r="E236" s="258"/>
      <c r="F236" s="88">
        <f t="shared" si="4"/>
        <v>4.08</v>
      </c>
      <c r="G236" s="97">
        <v>1</v>
      </c>
      <c r="H236" s="144"/>
      <c r="J236" s="34"/>
      <c r="AQ236" s="123"/>
    </row>
    <row r="237" spans="1:43" s="122" customFormat="1" ht="13.8">
      <c r="A237" s="58" t="s">
        <v>326</v>
      </c>
      <c r="B237" s="44"/>
      <c r="C237" s="145" t="s">
        <v>331</v>
      </c>
      <c r="D237" s="129" t="s">
        <v>262</v>
      </c>
      <c r="E237" s="258"/>
      <c r="F237" s="88">
        <f>0.255*16*1</f>
        <v>4.08</v>
      </c>
      <c r="G237" s="97">
        <v>1</v>
      </c>
      <c r="H237" s="144"/>
      <c r="J237" s="34"/>
      <c r="AQ237" s="123"/>
    </row>
    <row r="238" spans="1:43" s="122" customFormat="1" ht="13.8">
      <c r="A238" s="58" t="s">
        <v>327</v>
      </c>
      <c r="B238" s="44"/>
      <c r="C238" s="145" t="s">
        <v>994</v>
      </c>
      <c r="D238" s="129" t="s">
        <v>262</v>
      </c>
      <c r="E238" s="258"/>
      <c r="F238" s="88">
        <f>0.255*16*1</f>
        <v>4.08</v>
      </c>
      <c r="G238" s="97">
        <v>1</v>
      </c>
      <c r="H238" s="144"/>
      <c r="J238" s="34"/>
      <c r="AQ238" s="123"/>
    </row>
    <row r="239" spans="1:43" s="122" customFormat="1" ht="13.8">
      <c r="A239" s="58" t="s">
        <v>328</v>
      </c>
      <c r="B239" s="44"/>
      <c r="C239" s="145" t="s">
        <v>329</v>
      </c>
      <c r="D239" s="129" t="s">
        <v>974</v>
      </c>
      <c r="E239" s="258"/>
      <c r="F239" s="88">
        <f>0.255*17*1</f>
        <v>4.335</v>
      </c>
      <c r="G239" s="97">
        <v>1</v>
      </c>
      <c r="H239" s="144"/>
      <c r="J239" s="34"/>
      <c r="AQ239" s="123"/>
    </row>
    <row r="240" spans="1:43" s="122" customFormat="1" ht="13.8">
      <c r="A240" s="58" t="s">
        <v>329</v>
      </c>
      <c r="B240" s="44"/>
      <c r="C240" s="145" t="s">
        <v>328</v>
      </c>
      <c r="D240" s="129" t="s">
        <v>992</v>
      </c>
      <c r="E240" s="258"/>
      <c r="F240" s="88">
        <f>0.255*28*1</f>
        <v>7.1400000000000006</v>
      </c>
      <c r="G240" s="97">
        <v>1</v>
      </c>
      <c r="H240" s="144"/>
      <c r="J240" s="34"/>
      <c r="AQ240" s="123"/>
    </row>
    <row r="241" spans="1:43" s="122" customFormat="1" ht="13.8">
      <c r="A241" s="58" t="s">
        <v>330</v>
      </c>
      <c r="B241" s="44"/>
      <c r="C241" s="145" t="s">
        <v>995</v>
      </c>
      <c r="D241" s="94" t="s">
        <v>973</v>
      </c>
      <c r="E241" s="258"/>
      <c r="F241" s="88">
        <f>0.255*18*1</f>
        <v>4.59</v>
      </c>
      <c r="G241" s="97">
        <v>1</v>
      </c>
      <c r="H241" s="144"/>
      <c r="J241" s="34"/>
      <c r="AQ241" s="123"/>
    </row>
    <row r="242" spans="1:43" s="122" customFormat="1" ht="13.8">
      <c r="A242" s="58" t="s">
        <v>331</v>
      </c>
      <c r="B242" s="44"/>
      <c r="C242" s="145" t="s">
        <v>326</v>
      </c>
      <c r="D242" s="94" t="s">
        <v>973</v>
      </c>
      <c r="E242" s="258"/>
      <c r="F242" s="88">
        <f>0.255*18*1</f>
        <v>4.59</v>
      </c>
      <c r="G242" s="97">
        <v>1</v>
      </c>
      <c r="H242" s="144"/>
      <c r="J242" s="34"/>
      <c r="AQ242" s="123"/>
    </row>
    <row r="243" spans="1:43" s="122" customFormat="1" ht="13.8">
      <c r="A243" s="58" t="s">
        <v>332</v>
      </c>
      <c r="B243" s="44"/>
      <c r="C243" s="145" t="s">
        <v>325</v>
      </c>
      <c r="D243" s="94" t="s">
        <v>996</v>
      </c>
      <c r="E243" s="258"/>
      <c r="F243" s="88">
        <f>0.255*30*1</f>
        <v>7.65</v>
      </c>
      <c r="G243" s="97">
        <v>1</v>
      </c>
      <c r="H243" s="144"/>
      <c r="J243" s="34"/>
      <c r="AQ243" s="123"/>
    </row>
    <row r="244" spans="1:43" s="122" customFormat="1" ht="13.8">
      <c r="A244" s="58" t="s">
        <v>334</v>
      </c>
      <c r="B244" s="44"/>
      <c r="C244" s="147"/>
      <c r="D244" s="129"/>
      <c r="E244" s="258"/>
      <c r="F244" s="88"/>
      <c r="G244" s="97"/>
      <c r="H244" s="144"/>
      <c r="J244" s="34"/>
      <c r="AQ244" s="123"/>
    </row>
    <row r="245" spans="1:43" s="122" customFormat="1" ht="13.8">
      <c r="A245" s="58" t="s">
        <v>335</v>
      </c>
      <c r="B245" s="44"/>
      <c r="C245" s="141" t="s">
        <v>962</v>
      </c>
      <c r="D245" s="143" t="s">
        <v>1382</v>
      </c>
      <c r="E245" s="258"/>
      <c r="F245" s="88"/>
      <c r="G245" s="97"/>
      <c r="H245" s="144"/>
      <c r="J245" s="34"/>
      <c r="AQ245" s="123"/>
    </row>
    <row r="246" spans="1:43" s="122" customFormat="1" ht="13.8">
      <c r="A246" s="58" t="s">
        <v>336</v>
      </c>
      <c r="B246" s="44"/>
      <c r="C246" s="147" t="s">
        <v>537</v>
      </c>
      <c r="D246" s="129" t="s">
        <v>963</v>
      </c>
      <c r="E246" s="258"/>
      <c r="F246" s="88">
        <f>0.255*22*1</f>
        <v>5.61</v>
      </c>
      <c r="G246" s="97">
        <v>1</v>
      </c>
      <c r="H246" s="144"/>
      <c r="J246" s="34"/>
      <c r="AQ246" s="123"/>
    </row>
    <row r="247" spans="1:43" s="122" customFormat="1" ht="13.8">
      <c r="A247" s="58" t="s">
        <v>337</v>
      </c>
      <c r="B247" s="44"/>
      <c r="C247" s="147" t="s">
        <v>605</v>
      </c>
      <c r="D247" s="129" t="s">
        <v>1006</v>
      </c>
      <c r="E247" s="258"/>
      <c r="F247" s="88">
        <f>0.255*26*1</f>
        <v>6.63</v>
      </c>
      <c r="G247" s="97">
        <v>1</v>
      </c>
      <c r="H247" s="144"/>
      <c r="J247" s="34"/>
      <c r="AQ247" s="123"/>
    </row>
    <row r="248" spans="1:43" s="122" customFormat="1" ht="13.8">
      <c r="A248" s="58" t="s">
        <v>338</v>
      </c>
      <c r="B248" s="44"/>
      <c r="C248" s="147" t="s">
        <v>603</v>
      </c>
      <c r="D248" s="129" t="s">
        <v>1006</v>
      </c>
      <c r="E248" s="258"/>
      <c r="F248" s="88">
        <f>0.255*26*1</f>
        <v>6.63</v>
      </c>
      <c r="G248" s="97">
        <v>1</v>
      </c>
      <c r="H248" s="144"/>
      <c r="J248" s="34"/>
      <c r="AQ248" s="123"/>
    </row>
    <row r="249" spans="1:43" s="122" customFormat="1" ht="13.8">
      <c r="A249" s="58" t="s">
        <v>339</v>
      </c>
      <c r="B249" s="44"/>
      <c r="C249" s="147" t="s">
        <v>601</v>
      </c>
      <c r="D249" s="129" t="s">
        <v>1006</v>
      </c>
      <c r="E249" s="258"/>
      <c r="F249" s="88">
        <f t="shared" ref="F249:F250" si="5">0.255*26*1</f>
        <v>6.63</v>
      </c>
      <c r="G249" s="97">
        <v>1</v>
      </c>
      <c r="H249" s="144"/>
      <c r="J249" s="34"/>
      <c r="AQ249" s="123"/>
    </row>
    <row r="250" spans="1:43" s="122" customFormat="1" ht="13.8">
      <c r="A250" s="58" t="s">
        <v>340</v>
      </c>
      <c r="B250" s="44"/>
      <c r="C250" s="147" t="s">
        <v>599</v>
      </c>
      <c r="D250" s="129" t="s">
        <v>1006</v>
      </c>
      <c r="E250" s="258"/>
      <c r="F250" s="88">
        <f t="shared" si="5"/>
        <v>6.63</v>
      </c>
      <c r="G250" s="97">
        <v>1</v>
      </c>
      <c r="H250" s="144"/>
      <c r="J250" s="34"/>
      <c r="AQ250" s="123"/>
    </row>
    <row r="251" spans="1:43" s="122" customFormat="1" ht="13.8">
      <c r="A251" s="58" t="s">
        <v>341</v>
      </c>
      <c r="B251" s="44"/>
      <c r="C251" s="145" t="s">
        <v>453</v>
      </c>
      <c r="D251" s="129" t="s">
        <v>270</v>
      </c>
      <c r="E251" s="258"/>
      <c r="F251" s="88">
        <f>0.255*22*2</f>
        <v>11.22</v>
      </c>
      <c r="G251" s="97">
        <v>2</v>
      </c>
      <c r="H251" s="144"/>
      <c r="J251" s="34"/>
      <c r="AQ251" s="123"/>
    </row>
    <row r="252" spans="1:43" s="122" customFormat="1" ht="13.8">
      <c r="A252" s="58" t="s">
        <v>342</v>
      </c>
      <c r="B252" s="44"/>
      <c r="C252" s="145" t="s">
        <v>452</v>
      </c>
      <c r="D252" s="94" t="s">
        <v>1007</v>
      </c>
      <c r="E252" s="258"/>
      <c r="F252" s="88">
        <f>0.255*30*2</f>
        <v>15.3</v>
      </c>
      <c r="G252" s="97">
        <v>2</v>
      </c>
      <c r="H252" s="144"/>
      <c r="J252" s="34"/>
      <c r="AQ252" s="123"/>
    </row>
    <row r="253" spans="1:43" s="122" customFormat="1" ht="13.8">
      <c r="A253" s="58" t="s">
        <v>343</v>
      </c>
      <c r="B253" s="44"/>
      <c r="C253" s="145" t="s">
        <v>451</v>
      </c>
      <c r="D253" s="94" t="s">
        <v>1008</v>
      </c>
      <c r="E253" s="258"/>
      <c r="F253" s="88">
        <f>0.255*30*3</f>
        <v>22.950000000000003</v>
      </c>
      <c r="G253" s="97">
        <v>3</v>
      </c>
      <c r="H253" s="144"/>
      <c r="J253" s="34"/>
      <c r="AQ253" s="123"/>
    </row>
    <row r="254" spans="1:43" s="122" customFormat="1" ht="13.8">
      <c r="A254" s="58" t="s">
        <v>344</v>
      </c>
      <c r="B254" s="44"/>
      <c r="C254" s="145"/>
      <c r="D254" s="129"/>
      <c r="E254" s="258"/>
      <c r="F254" s="88"/>
      <c r="G254" s="97"/>
      <c r="H254" s="144"/>
      <c r="J254" s="34"/>
      <c r="AQ254" s="123"/>
    </row>
    <row r="255" spans="1:43" s="122" customFormat="1" ht="13.8">
      <c r="A255" s="58" t="s">
        <v>345</v>
      </c>
      <c r="B255" s="44"/>
      <c r="C255" s="145"/>
      <c r="D255" s="140" t="s">
        <v>1383</v>
      </c>
      <c r="E255" s="258"/>
      <c r="F255" s="88"/>
      <c r="G255" s="97"/>
      <c r="H255" s="144"/>
      <c r="J255" s="34"/>
      <c r="AQ255" s="123"/>
    </row>
    <row r="256" spans="1:43" s="122" customFormat="1" ht="13.8">
      <c r="A256" s="58" t="s">
        <v>346</v>
      </c>
      <c r="B256" s="44"/>
      <c r="C256" s="145"/>
      <c r="D256" s="107" t="s">
        <v>1384</v>
      </c>
      <c r="E256" s="257" t="s">
        <v>41</v>
      </c>
      <c r="F256" s="49">
        <f>SUM(F258:F353)</f>
        <v>430.78999999999991</v>
      </c>
      <c r="G256" s="97"/>
      <c r="H256" s="144"/>
      <c r="J256" s="34"/>
      <c r="AQ256" s="123"/>
    </row>
    <row r="257" spans="1:43" s="122" customFormat="1" ht="13.8">
      <c r="A257" s="58" t="s">
        <v>347</v>
      </c>
      <c r="B257" s="44"/>
      <c r="C257" s="141" t="s">
        <v>962</v>
      </c>
      <c r="D257" s="143" t="s">
        <v>1385</v>
      </c>
      <c r="E257" s="258"/>
      <c r="F257" s="88"/>
      <c r="G257" s="97"/>
      <c r="H257" s="144"/>
      <c r="J257" s="34"/>
      <c r="AQ257" s="123"/>
    </row>
    <row r="258" spans="1:43" s="122" customFormat="1" ht="13.8">
      <c r="A258" s="58" t="s">
        <v>349</v>
      </c>
      <c r="B258" s="44"/>
      <c r="C258" s="145" t="s">
        <v>298</v>
      </c>
      <c r="D258" s="94" t="s">
        <v>1009</v>
      </c>
      <c r="E258" s="258"/>
      <c r="F258" s="88">
        <f>0.44*7*1</f>
        <v>3.08</v>
      </c>
      <c r="G258" s="97">
        <v>1</v>
      </c>
      <c r="H258" s="144"/>
      <c r="J258" s="34"/>
      <c r="AQ258" s="123"/>
    </row>
    <row r="259" spans="1:43" s="122" customFormat="1" ht="13.8">
      <c r="A259" s="58" t="s">
        <v>350</v>
      </c>
      <c r="B259" s="44"/>
      <c r="C259" s="145"/>
      <c r="D259" s="129"/>
      <c r="E259" s="258"/>
      <c r="F259" s="88"/>
      <c r="G259" s="97"/>
      <c r="H259" s="144"/>
      <c r="J259" s="34"/>
      <c r="AQ259" s="123"/>
    </row>
    <row r="260" spans="1:43" s="122" customFormat="1" ht="13.8">
      <c r="A260" s="58" t="s">
        <v>351</v>
      </c>
      <c r="B260" s="44"/>
      <c r="C260" s="141" t="s">
        <v>962</v>
      </c>
      <c r="D260" s="143" t="s">
        <v>1386</v>
      </c>
      <c r="E260" s="258"/>
      <c r="F260" s="88"/>
      <c r="G260" s="97"/>
      <c r="H260" s="144"/>
      <c r="J260" s="34"/>
      <c r="AQ260" s="123"/>
    </row>
    <row r="261" spans="1:43" s="122" customFormat="1" ht="13.8">
      <c r="A261" s="58" t="s">
        <v>352</v>
      </c>
      <c r="B261" s="44"/>
      <c r="C261" s="147" t="s">
        <v>1010</v>
      </c>
      <c r="D261" s="94" t="s">
        <v>273</v>
      </c>
      <c r="E261" s="258"/>
      <c r="F261" s="88">
        <f>0.255*18*2</f>
        <v>9.18</v>
      </c>
      <c r="G261" s="97">
        <v>2</v>
      </c>
      <c r="H261" s="144"/>
      <c r="J261" s="34"/>
      <c r="AQ261" s="123"/>
    </row>
    <row r="262" spans="1:43" s="122" customFormat="1" ht="13.8">
      <c r="A262" s="58" t="s">
        <v>354</v>
      </c>
      <c r="B262" s="44"/>
      <c r="C262" s="147" t="s">
        <v>247</v>
      </c>
      <c r="D262" s="94" t="s">
        <v>1011</v>
      </c>
      <c r="E262" s="258"/>
      <c r="F262" s="88">
        <f>0.255*28*1</f>
        <v>7.1400000000000006</v>
      </c>
      <c r="G262" s="97">
        <v>1</v>
      </c>
      <c r="H262" s="144"/>
      <c r="J262" s="34"/>
      <c r="AQ262" s="123"/>
    </row>
    <row r="263" spans="1:43" s="122" customFormat="1" ht="13.8">
      <c r="A263" s="58" t="s">
        <v>356</v>
      </c>
      <c r="B263" s="44"/>
      <c r="C263" s="147" t="s">
        <v>378</v>
      </c>
      <c r="D263" s="94" t="s">
        <v>1011</v>
      </c>
      <c r="E263" s="258"/>
      <c r="F263" s="88">
        <f>0.255*28*1</f>
        <v>7.1400000000000006</v>
      </c>
      <c r="G263" s="97">
        <v>1</v>
      </c>
      <c r="H263" s="144"/>
      <c r="J263" s="34"/>
      <c r="AQ263" s="123"/>
    </row>
    <row r="264" spans="1:43" s="122" customFormat="1" ht="13.8">
      <c r="A264" s="58" t="s">
        <v>357</v>
      </c>
      <c r="B264" s="44"/>
      <c r="C264" s="147" t="s">
        <v>381</v>
      </c>
      <c r="D264" s="94" t="s">
        <v>1012</v>
      </c>
      <c r="E264" s="258"/>
      <c r="F264" s="88">
        <f>0.255*19*1</f>
        <v>4.8449999999999998</v>
      </c>
      <c r="G264" s="97">
        <v>1</v>
      </c>
      <c r="H264" s="144"/>
      <c r="J264" s="34"/>
      <c r="AQ264" s="123"/>
    </row>
    <row r="265" spans="1:43" s="122" customFormat="1" ht="13.8">
      <c r="A265" s="58" t="s">
        <v>359</v>
      </c>
      <c r="B265" s="44"/>
      <c r="C265" s="147" t="s">
        <v>384</v>
      </c>
      <c r="D265" s="94" t="s">
        <v>1012</v>
      </c>
      <c r="E265" s="258"/>
      <c r="F265" s="88">
        <f>0.255*19*1</f>
        <v>4.8449999999999998</v>
      </c>
      <c r="G265" s="97">
        <v>1</v>
      </c>
      <c r="H265" s="144"/>
      <c r="J265" s="34"/>
      <c r="AQ265" s="123"/>
    </row>
    <row r="266" spans="1:43" s="122" customFormat="1" ht="13.8">
      <c r="A266" s="58" t="s">
        <v>360</v>
      </c>
      <c r="B266" s="44"/>
      <c r="C266" s="147" t="s">
        <v>386</v>
      </c>
      <c r="D266" s="94" t="s">
        <v>1012</v>
      </c>
      <c r="E266" s="258"/>
      <c r="F266" s="88">
        <f>0.255*19*1</f>
        <v>4.8449999999999998</v>
      </c>
      <c r="G266" s="97">
        <v>1</v>
      </c>
      <c r="H266" s="144"/>
      <c r="J266" s="34"/>
      <c r="AQ266" s="123"/>
    </row>
    <row r="267" spans="1:43" s="122" customFormat="1" ht="13.8">
      <c r="A267" s="58" t="s">
        <v>361</v>
      </c>
      <c r="B267" s="44"/>
      <c r="C267" s="147" t="s">
        <v>388</v>
      </c>
      <c r="D267" s="94" t="s">
        <v>1013</v>
      </c>
      <c r="E267" s="258"/>
      <c r="F267" s="88">
        <f>0.255*19*1</f>
        <v>4.8449999999999998</v>
      </c>
      <c r="G267" s="97">
        <v>1</v>
      </c>
      <c r="H267" s="144"/>
      <c r="J267" s="34"/>
      <c r="AQ267" s="123"/>
    </row>
    <row r="268" spans="1:43" s="122" customFormat="1" ht="13.8">
      <c r="A268" s="58" t="s">
        <v>362</v>
      </c>
      <c r="B268" s="44"/>
      <c r="C268" s="147" t="s">
        <v>390</v>
      </c>
      <c r="D268" s="94" t="s">
        <v>1014</v>
      </c>
      <c r="E268" s="258"/>
      <c r="F268" s="88">
        <f>0.255*22*1</f>
        <v>5.61</v>
      </c>
      <c r="G268" s="97">
        <v>1</v>
      </c>
      <c r="H268" s="144"/>
      <c r="J268" s="34"/>
      <c r="AQ268" s="123"/>
    </row>
    <row r="269" spans="1:43" s="122" customFormat="1" ht="13.8">
      <c r="A269" s="58" t="s">
        <v>363</v>
      </c>
      <c r="B269" s="44"/>
      <c r="C269" s="147"/>
      <c r="D269" s="129"/>
      <c r="E269" s="258"/>
      <c r="F269" s="88"/>
      <c r="G269" s="97"/>
      <c r="H269" s="144"/>
      <c r="J269" s="34"/>
      <c r="AQ269" s="123"/>
    </row>
    <row r="270" spans="1:43" s="122" customFormat="1" ht="13.8">
      <c r="A270" s="58" t="s">
        <v>364</v>
      </c>
      <c r="B270" s="44"/>
      <c r="C270" s="141" t="s">
        <v>962</v>
      </c>
      <c r="D270" s="143" t="s">
        <v>1387</v>
      </c>
      <c r="E270" s="258"/>
      <c r="F270" s="88"/>
      <c r="G270" s="97"/>
      <c r="H270" s="144"/>
      <c r="J270" s="34"/>
      <c r="AQ270" s="123"/>
    </row>
    <row r="271" spans="1:43" s="122" customFormat="1" ht="13.8">
      <c r="A271" s="58" t="s">
        <v>365</v>
      </c>
      <c r="B271" s="44"/>
      <c r="C271" s="147" t="s">
        <v>191</v>
      </c>
      <c r="D271" s="94" t="s">
        <v>1006</v>
      </c>
      <c r="E271" s="258"/>
      <c r="F271" s="88">
        <f>0.255*26*1</f>
        <v>6.63</v>
      </c>
      <c r="G271" s="97">
        <v>1</v>
      </c>
      <c r="H271" s="144"/>
      <c r="J271" s="34"/>
      <c r="AQ271" s="123"/>
    </row>
    <row r="272" spans="1:43" s="122" customFormat="1" ht="13.8">
      <c r="A272" s="58" t="s">
        <v>366</v>
      </c>
      <c r="B272" s="44"/>
      <c r="C272" s="147" t="s">
        <v>191</v>
      </c>
      <c r="D272" s="94" t="s">
        <v>1104</v>
      </c>
      <c r="E272" s="258"/>
      <c r="F272" s="88">
        <f>0.205*12*1</f>
        <v>2.46</v>
      </c>
      <c r="G272" s="97">
        <v>1</v>
      </c>
      <c r="H272" s="144"/>
      <c r="J272" s="34"/>
      <c r="AQ272" s="123"/>
    </row>
    <row r="273" spans="1:43" s="122" customFormat="1" ht="13.8">
      <c r="A273" s="58" t="s">
        <v>367</v>
      </c>
      <c r="B273" s="44"/>
      <c r="C273" s="147" t="s">
        <v>459</v>
      </c>
      <c r="D273" s="94" t="s">
        <v>989</v>
      </c>
      <c r="E273" s="258"/>
      <c r="F273" s="88">
        <f>0.255*20*1</f>
        <v>5.0999999999999996</v>
      </c>
      <c r="G273" s="97">
        <v>1</v>
      </c>
      <c r="H273" s="144"/>
      <c r="J273" s="34"/>
      <c r="AQ273" s="123"/>
    </row>
    <row r="274" spans="1:43" s="122" customFormat="1" ht="13.8">
      <c r="A274" s="58" t="s">
        <v>368</v>
      </c>
      <c r="B274" s="44"/>
      <c r="C274" s="147" t="s">
        <v>1015</v>
      </c>
      <c r="D274" s="94" t="s">
        <v>1001</v>
      </c>
      <c r="E274" s="258"/>
      <c r="F274" s="88">
        <f>0.255*24*1</f>
        <v>6.12</v>
      </c>
      <c r="G274" s="97">
        <v>1</v>
      </c>
      <c r="H274" s="144"/>
      <c r="J274" s="34"/>
      <c r="AQ274" s="123"/>
    </row>
    <row r="275" spans="1:43" s="122" customFormat="1" ht="13.8">
      <c r="A275" s="58" t="s">
        <v>369</v>
      </c>
      <c r="B275" s="44"/>
      <c r="C275" s="147" t="s">
        <v>462</v>
      </c>
      <c r="D275" s="94" t="s">
        <v>978</v>
      </c>
      <c r="E275" s="258"/>
      <c r="F275" s="88">
        <f>0.255*19*1</f>
        <v>4.8449999999999998</v>
      </c>
      <c r="G275" s="97">
        <v>1</v>
      </c>
      <c r="H275" s="144"/>
      <c r="J275" s="34"/>
      <c r="AQ275" s="123"/>
    </row>
    <row r="276" spans="1:43" s="122" customFormat="1" ht="13.8">
      <c r="A276" s="58" t="s">
        <v>371</v>
      </c>
      <c r="B276" s="44"/>
      <c r="C276" s="147" t="s">
        <v>465</v>
      </c>
      <c r="D276" s="94" t="s">
        <v>262</v>
      </c>
      <c r="E276" s="258"/>
      <c r="F276" s="88">
        <f>0.255*16*1</f>
        <v>4.08</v>
      </c>
      <c r="G276" s="97">
        <v>1</v>
      </c>
      <c r="H276" s="144"/>
      <c r="J276" s="34"/>
      <c r="AQ276" s="123"/>
    </row>
    <row r="277" spans="1:43" s="122" customFormat="1" ht="13.8">
      <c r="A277" s="58" t="s">
        <v>373</v>
      </c>
      <c r="B277" s="44"/>
      <c r="C277" s="147" t="s">
        <v>467</v>
      </c>
      <c r="D277" s="94" t="s">
        <v>262</v>
      </c>
      <c r="E277" s="258"/>
      <c r="F277" s="88">
        <f>0.255*16*1</f>
        <v>4.08</v>
      </c>
      <c r="G277" s="97">
        <v>1</v>
      </c>
      <c r="H277" s="144"/>
      <c r="J277" s="34"/>
      <c r="AQ277" s="123"/>
    </row>
    <row r="278" spans="1:43" s="122" customFormat="1" ht="13.8">
      <c r="A278" s="58" t="s">
        <v>374</v>
      </c>
      <c r="B278" s="44"/>
      <c r="C278" s="147" t="s">
        <v>469</v>
      </c>
      <c r="D278" s="94" t="s">
        <v>262</v>
      </c>
      <c r="E278" s="258"/>
      <c r="F278" s="88">
        <f>0.255*16*1</f>
        <v>4.08</v>
      </c>
      <c r="G278" s="97">
        <v>1</v>
      </c>
      <c r="H278" s="144"/>
      <c r="J278" s="34"/>
      <c r="AQ278" s="123"/>
    </row>
    <row r="279" spans="1:43" s="122" customFormat="1" ht="13.8">
      <c r="A279" s="58" t="s">
        <v>375</v>
      </c>
      <c r="B279" s="44"/>
      <c r="C279" s="147" t="s">
        <v>471</v>
      </c>
      <c r="D279" s="94" t="s">
        <v>262</v>
      </c>
      <c r="E279" s="258"/>
      <c r="F279" s="88">
        <f>0.255*16*1</f>
        <v>4.08</v>
      </c>
      <c r="G279" s="97">
        <v>1</v>
      </c>
      <c r="H279" s="144"/>
      <c r="J279" s="34"/>
      <c r="AQ279" s="123"/>
    </row>
    <row r="280" spans="1:43" s="122" customFormat="1" ht="13.8">
      <c r="A280" s="58" t="s">
        <v>376</v>
      </c>
      <c r="B280" s="44"/>
      <c r="C280" s="147" t="s">
        <v>473</v>
      </c>
      <c r="D280" s="94" t="s">
        <v>978</v>
      </c>
      <c r="E280" s="258"/>
      <c r="F280" s="88">
        <f>0.255*19*1</f>
        <v>4.8449999999999998</v>
      </c>
      <c r="G280" s="97">
        <v>1</v>
      </c>
      <c r="H280" s="144"/>
      <c r="J280" s="34"/>
      <c r="AQ280" s="123"/>
    </row>
    <row r="281" spans="1:43" s="122" customFormat="1" ht="13.8">
      <c r="A281" s="58" t="s">
        <v>377</v>
      </c>
      <c r="B281" s="44"/>
      <c r="C281" s="147"/>
      <c r="D281" s="94"/>
      <c r="E281" s="258"/>
      <c r="F281" s="88"/>
      <c r="G281" s="97"/>
      <c r="H281" s="144"/>
      <c r="J281" s="34"/>
      <c r="AQ281" s="123"/>
    </row>
    <row r="282" spans="1:43" s="122" customFormat="1" ht="13.8">
      <c r="A282" s="58" t="s">
        <v>379</v>
      </c>
      <c r="B282" s="44"/>
      <c r="C282" s="141" t="s">
        <v>962</v>
      </c>
      <c r="D282" s="143" t="s">
        <v>1388</v>
      </c>
      <c r="E282" s="258"/>
      <c r="F282" s="88"/>
      <c r="G282" s="97"/>
      <c r="H282" s="144"/>
      <c r="J282" s="34"/>
      <c r="AQ282" s="123"/>
    </row>
    <row r="283" spans="1:43" s="122" customFormat="1" ht="13.8">
      <c r="A283" s="58" t="s">
        <v>380</v>
      </c>
      <c r="B283" s="44"/>
      <c r="C283" s="147" t="s">
        <v>352</v>
      </c>
      <c r="D283" s="94" t="s">
        <v>1006</v>
      </c>
      <c r="E283" s="258"/>
      <c r="F283" s="88">
        <f>0.255*26*1</f>
        <v>6.63</v>
      </c>
      <c r="G283" s="97">
        <v>1</v>
      </c>
      <c r="H283" s="144"/>
      <c r="J283" s="34"/>
      <c r="AQ283" s="123"/>
    </row>
    <row r="284" spans="1:43" s="122" customFormat="1" ht="13.8">
      <c r="A284" s="58" t="s">
        <v>382</v>
      </c>
      <c r="B284" s="44"/>
      <c r="C284" s="147" t="s">
        <v>543</v>
      </c>
      <c r="D284" s="94" t="s">
        <v>262</v>
      </c>
      <c r="E284" s="258"/>
      <c r="F284" s="88">
        <f t="shared" ref="F284:F289" si="6">0.255*16*1</f>
        <v>4.08</v>
      </c>
      <c r="G284" s="97">
        <v>1</v>
      </c>
      <c r="H284" s="144"/>
      <c r="J284" s="34"/>
      <c r="AQ284" s="123"/>
    </row>
    <row r="285" spans="1:43" s="122" customFormat="1" ht="13.8">
      <c r="A285" s="58" t="s">
        <v>383</v>
      </c>
      <c r="B285" s="44"/>
      <c r="C285" s="147" t="s">
        <v>545</v>
      </c>
      <c r="D285" s="94" t="s">
        <v>262</v>
      </c>
      <c r="E285" s="258"/>
      <c r="F285" s="88">
        <f t="shared" si="6"/>
        <v>4.08</v>
      </c>
      <c r="G285" s="97">
        <v>1</v>
      </c>
      <c r="H285" s="144"/>
      <c r="J285" s="34"/>
      <c r="AQ285" s="123"/>
    </row>
    <row r="286" spans="1:43" s="122" customFormat="1" ht="13.8">
      <c r="A286" s="58" t="s">
        <v>385</v>
      </c>
      <c r="B286" s="44"/>
      <c r="C286" s="147" t="s">
        <v>357</v>
      </c>
      <c r="D286" s="94" t="s">
        <v>989</v>
      </c>
      <c r="E286" s="258"/>
      <c r="F286" s="88">
        <f>0.255*20*1</f>
        <v>5.0999999999999996</v>
      </c>
      <c r="G286" s="97">
        <v>1</v>
      </c>
      <c r="H286" s="144"/>
      <c r="J286" s="34"/>
      <c r="AQ286" s="123"/>
    </row>
    <row r="287" spans="1:43" s="122" customFormat="1" ht="13.8">
      <c r="A287" s="58" t="s">
        <v>387</v>
      </c>
      <c r="B287" s="44"/>
      <c r="C287" s="147" t="s">
        <v>548</v>
      </c>
      <c r="D287" s="94" t="s">
        <v>262</v>
      </c>
      <c r="E287" s="258"/>
      <c r="F287" s="88">
        <f t="shared" si="6"/>
        <v>4.08</v>
      </c>
      <c r="G287" s="97">
        <v>1</v>
      </c>
      <c r="H287" s="144"/>
      <c r="J287" s="34"/>
      <c r="AQ287" s="123"/>
    </row>
    <row r="288" spans="1:43" s="122" customFormat="1" ht="13.8">
      <c r="A288" s="58" t="s">
        <v>389</v>
      </c>
      <c r="B288" s="44"/>
      <c r="C288" s="147" t="s">
        <v>550</v>
      </c>
      <c r="D288" s="94" t="s">
        <v>965</v>
      </c>
      <c r="E288" s="258"/>
      <c r="F288" s="88">
        <f>0.255*16*2</f>
        <v>8.16</v>
      </c>
      <c r="G288" s="97">
        <v>2</v>
      </c>
      <c r="H288" s="144"/>
      <c r="J288" s="34"/>
      <c r="AQ288" s="123"/>
    </row>
    <row r="289" spans="1:43" s="122" customFormat="1" ht="13.8">
      <c r="A289" s="58" t="s">
        <v>391</v>
      </c>
      <c r="B289" s="44"/>
      <c r="C289" s="147" t="s">
        <v>552</v>
      </c>
      <c r="D289" s="94" t="s">
        <v>262</v>
      </c>
      <c r="E289" s="258"/>
      <c r="F289" s="88">
        <f t="shared" si="6"/>
        <v>4.08</v>
      </c>
      <c r="G289" s="97">
        <v>1</v>
      </c>
      <c r="H289" s="144"/>
      <c r="J289" s="34"/>
      <c r="AQ289" s="123"/>
    </row>
    <row r="290" spans="1:43" s="122" customFormat="1" ht="13.8">
      <c r="A290" s="58" t="s">
        <v>393</v>
      </c>
      <c r="B290" s="44"/>
      <c r="C290" s="147" t="s">
        <v>554</v>
      </c>
      <c r="D290" s="94" t="s">
        <v>973</v>
      </c>
      <c r="E290" s="258"/>
      <c r="F290" s="88">
        <f>0.255*18*1</f>
        <v>4.59</v>
      </c>
      <c r="G290" s="97">
        <v>1</v>
      </c>
      <c r="H290" s="144"/>
      <c r="J290" s="34"/>
      <c r="AQ290" s="123"/>
    </row>
    <row r="291" spans="1:43" s="122" customFormat="1" ht="13.8">
      <c r="A291" s="58" t="s">
        <v>394</v>
      </c>
      <c r="B291" s="44"/>
      <c r="C291" s="147"/>
      <c r="D291" s="94"/>
      <c r="E291" s="258"/>
      <c r="F291" s="88"/>
      <c r="G291" s="97"/>
      <c r="H291" s="144"/>
      <c r="J291" s="34"/>
      <c r="AQ291" s="123"/>
    </row>
    <row r="292" spans="1:43" s="122" customFormat="1" ht="13.8">
      <c r="A292" s="58" t="s">
        <v>396</v>
      </c>
      <c r="B292" s="44"/>
      <c r="C292" s="141" t="s">
        <v>962</v>
      </c>
      <c r="D292" s="143" t="s">
        <v>1389</v>
      </c>
      <c r="E292" s="258"/>
      <c r="F292" s="88"/>
      <c r="G292" s="97"/>
      <c r="H292" s="144"/>
      <c r="J292" s="34"/>
      <c r="AQ292" s="123"/>
    </row>
    <row r="293" spans="1:43" s="122" customFormat="1" ht="13.8">
      <c r="A293" s="58" t="s">
        <v>398</v>
      </c>
      <c r="B293" s="44"/>
      <c r="C293" s="145" t="s">
        <v>498</v>
      </c>
      <c r="D293" s="94" t="s">
        <v>259</v>
      </c>
      <c r="E293" s="258"/>
      <c r="F293" s="88">
        <f>0.255*15*1</f>
        <v>3.8250000000000002</v>
      </c>
      <c r="G293" s="97">
        <v>1</v>
      </c>
      <c r="H293" s="144"/>
      <c r="J293" s="34"/>
      <c r="AQ293" s="123"/>
    </row>
    <row r="294" spans="1:43" s="122" customFormat="1" ht="13.8">
      <c r="A294" s="58" t="s">
        <v>400</v>
      </c>
      <c r="B294" s="44"/>
      <c r="C294" s="147" t="s">
        <v>498</v>
      </c>
      <c r="D294" s="94" t="s">
        <v>996</v>
      </c>
      <c r="E294" s="258"/>
      <c r="F294" s="88">
        <f>0.255*30*1</f>
        <v>7.65</v>
      </c>
      <c r="G294" s="97">
        <v>1</v>
      </c>
      <c r="H294" s="144"/>
      <c r="J294" s="34"/>
      <c r="AQ294" s="123"/>
    </row>
    <row r="295" spans="1:43" s="122" customFormat="1" ht="13.8">
      <c r="A295" s="58" t="s">
        <v>402</v>
      </c>
      <c r="B295" s="44"/>
      <c r="C295" s="147" t="s">
        <v>499</v>
      </c>
      <c r="D295" s="94" t="s">
        <v>1017</v>
      </c>
      <c r="E295" s="258"/>
      <c r="F295" s="88">
        <f>0.255*25*2</f>
        <v>12.75</v>
      </c>
      <c r="G295" s="97">
        <v>2</v>
      </c>
      <c r="H295" s="144"/>
      <c r="J295" s="34"/>
      <c r="AQ295" s="123"/>
    </row>
    <row r="296" spans="1:43" s="122" customFormat="1" ht="13.8">
      <c r="A296" s="58" t="s">
        <v>404</v>
      </c>
      <c r="B296" s="44"/>
      <c r="C296" s="147" t="s">
        <v>640</v>
      </c>
      <c r="D296" s="94" t="s">
        <v>1003</v>
      </c>
      <c r="E296" s="258"/>
      <c r="F296" s="88">
        <f>0.255*29*1</f>
        <v>7.3950000000000005</v>
      </c>
      <c r="G296" s="97">
        <v>1</v>
      </c>
      <c r="H296" s="144"/>
      <c r="J296" s="34"/>
      <c r="AQ296" s="123"/>
    </row>
    <row r="297" spans="1:43" s="122" customFormat="1" ht="13.8">
      <c r="A297" s="58" t="s">
        <v>405</v>
      </c>
      <c r="B297" s="44"/>
      <c r="C297" s="147" t="s">
        <v>642</v>
      </c>
      <c r="D297" s="94" t="s">
        <v>989</v>
      </c>
      <c r="E297" s="258"/>
      <c r="F297" s="88">
        <f>0.255*20*1</f>
        <v>5.0999999999999996</v>
      </c>
      <c r="G297" s="97">
        <v>1</v>
      </c>
      <c r="H297" s="144"/>
      <c r="J297" s="34"/>
      <c r="AQ297" s="123"/>
    </row>
    <row r="298" spans="1:43" s="122" customFormat="1" ht="13.8">
      <c r="A298" s="58" t="s">
        <v>406</v>
      </c>
      <c r="B298" s="44"/>
      <c r="C298" s="147" t="s">
        <v>502</v>
      </c>
      <c r="D298" s="94" t="s">
        <v>1006</v>
      </c>
      <c r="E298" s="258"/>
      <c r="F298" s="88">
        <f>0.255*26*1</f>
        <v>6.63</v>
      </c>
      <c r="G298" s="97">
        <v>1</v>
      </c>
      <c r="H298" s="144"/>
      <c r="J298" s="34"/>
      <c r="AQ298" s="123"/>
    </row>
    <row r="299" spans="1:43" s="122" customFormat="1" ht="13.8">
      <c r="A299" s="58" t="s">
        <v>407</v>
      </c>
      <c r="B299" s="44"/>
      <c r="C299" s="147" t="s">
        <v>647</v>
      </c>
      <c r="D299" s="94" t="s">
        <v>1019</v>
      </c>
      <c r="E299" s="258"/>
      <c r="F299" s="88">
        <f>0.255*25*1</f>
        <v>6.375</v>
      </c>
      <c r="G299" s="97">
        <v>1</v>
      </c>
      <c r="H299" s="144"/>
      <c r="J299" s="34"/>
      <c r="AQ299" s="123"/>
    </row>
    <row r="300" spans="1:43" s="122" customFormat="1" ht="13.8">
      <c r="A300" s="58" t="s">
        <v>408</v>
      </c>
      <c r="B300" s="44"/>
      <c r="C300" s="147" t="s">
        <v>1018</v>
      </c>
      <c r="D300" s="94" t="s">
        <v>1019</v>
      </c>
      <c r="E300" s="258"/>
      <c r="F300" s="88">
        <f>0.255*25*1</f>
        <v>6.375</v>
      </c>
      <c r="G300" s="97">
        <v>1</v>
      </c>
      <c r="H300" s="144"/>
      <c r="J300" s="34"/>
      <c r="AQ300" s="123"/>
    </row>
    <row r="301" spans="1:43" s="122" customFormat="1" ht="13.8">
      <c r="A301" s="58" t="s">
        <v>409</v>
      </c>
      <c r="B301" s="44"/>
      <c r="C301" s="147" t="s">
        <v>650</v>
      </c>
      <c r="D301" s="94" t="s">
        <v>1019</v>
      </c>
      <c r="E301" s="258"/>
      <c r="F301" s="88">
        <f>0.255*25*1</f>
        <v>6.375</v>
      </c>
      <c r="G301" s="97">
        <v>1</v>
      </c>
      <c r="H301" s="144"/>
      <c r="J301" s="34"/>
      <c r="AQ301" s="123"/>
    </row>
    <row r="302" spans="1:43" s="122" customFormat="1" ht="13.8">
      <c r="A302" s="58" t="s">
        <v>411</v>
      </c>
      <c r="B302" s="44"/>
      <c r="C302" s="147"/>
      <c r="D302" s="94"/>
      <c r="E302" s="258"/>
      <c r="F302" s="88"/>
      <c r="G302" s="97"/>
      <c r="H302" s="144"/>
      <c r="J302" s="34"/>
      <c r="AQ302" s="123"/>
    </row>
    <row r="303" spans="1:43" s="122" customFormat="1" ht="13.8">
      <c r="A303" s="58" t="s">
        <v>412</v>
      </c>
      <c r="B303" s="44"/>
      <c r="C303" s="145"/>
      <c r="D303" s="140" t="s">
        <v>1390</v>
      </c>
      <c r="E303" s="258"/>
      <c r="F303" s="88"/>
      <c r="G303" s="97"/>
      <c r="H303" s="144"/>
      <c r="J303" s="34"/>
      <c r="AQ303" s="123"/>
    </row>
    <row r="304" spans="1:43" s="122" customFormat="1" ht="13.8">
      <c r="A304" s="58" t="s">
        <v>413</v>
      </c>
      <c r="B304" s="44"/>
      <c r="C304" s="145"/>
      <c r="D304" s="107" t="s">
        <v>1391</v>
      </c>
      <c r="E304" s="258"/>
      <c r="F304" s="97"/>
      <c r="G304" s="97"/>
      <c r="H304" s="144"/>
      <c r="J304" s="34"/>
      <c r="AQ304" s="123"/>
    </row>
    <row r="305" spans="1:43" s="122" customFormat="1" ht="13.8">
      <c r="A305" s="58" t="s">
        <v>414</v>
      </c>
      <c r="B305" s="44"/>
      <c r="C305" s="141" t="s">
        <v>962</v>
      </c>
      <c r="D305" s="143" t="s">
        <v>1392</v>
      </c>
      <c r="E305" s="258"/>
      <c r="F305" s="88"/>
      <c r="G305" s="97"/>
      <c r="H305" s="144"/>
      <c r="J305" s="34"/>
      <c r="AQ305" s="123"/>
    </row>
    <row r="306" spans="1:43" s="122" customFormat="1" ht="13.8">
      <c r="A306" s="58" t="s">
        <v>415</v>
      </c>
      <c r="B306" s="44"/>
      <c r="C306" s="145"/>
      <c r="D306" s="94"/>
      <c r="E306" s="258"/>
      <c r="F306" s="88"/>
      <c r="G306" s="97"/>
      <c r="H306" s="144"/>
      <c r="J306" s="34"/>
      <c r="AQ306" s="123"/>
    </row>
    <row r="307" spans="1:43" s="122" customFormat="1" ht="13.8">
      <c r="A307" s="58" t="s">
        <v>416</v>
      </c>
      <c r="B307" s="44"/>
      <c r="C307" s="141" t="s">
        <v>962</v>
      </c>
      <c r="D307" s="143" t="s">
        <v>1393</v>
      </c>
      <c r="E307" s="258"/>
      <c r="F307" s="88"/>
      <c r="G307" s="97"/>
      <c r="H307" s="144"/>
      <c r="J307" s="34"/>
      <c r="AQ307" s="123"/>
    </row>
    <row r="308" spans="1:43" s="122" customFormat="1" ht="13.8">
      <c r="A308" s="58" t="s">
        <v>417</v>
      </c>
      <c r="B308" s="44"/>
      <c r="C308" s="147" t="s">
        <v>392</v>
      </c>
      <c r="D308" s="94" t="s">
        <v>974</v>
      </c>
      <c r="E308" s="258"/>
      <c r="F308" s="88">
        <f>0.255*17*1</f>
        <v>4.335</v>
      </c>
      <c r="G308" s="97">
        <v>1</v>
      </c>
      <c r="H308" s="144"/>
      <c r="J308" s="34"/>
      <c r="AQ308" s="123"/>
    </row>
    <row r="309" spans="1:43" s="122" customFormat="1" ht="13.8">
      <c r="A309" s="58" t="s">
        <v>418</v>
      </c>
      <c r="B309" s="44"/>
      <c r="C309" s="147" t="s">
        <v>1020</v>
      </c>
      <c r="D309" s="94" t="s">
        <v>250</v>
      </c>
      <c r="E309" s="258"/>
      <c r="F309" s="88">
        <f>0.255*14*1</f>
        <v>3.5700000000000003</v>
      </c>
      <c r="G309" s="97">
        <v>1</v>
      </c>
      <c r="H309" s="144"/>
      <c r="J309" s="34"/>
      <c r="AQ309" s="123"/>
    </row>
    <row r="310" spans="1:43" s="122" customFormat="1" ht="13.8">
      <c r="A310" s="58" t="s">
        <v>419</v>
      </c>
      <c r="B310" s="44"/>
      <c r="C310" s="147" t="s">
        <v>267</v>
      </c>
      <c r="D310" s="94" t="s">
        <v>250</v>
      </c>
      <c r="E310" s="258"/>
      <c r="F310" s="88">
        <f>0.255*14*1</f>
        <v>3.5700000000000003</v>
      </c>
      <c r="G310" s="97">
        <v>1</v>
      </c>
      <c r="H310" s="144"/>
      <c r="J310" s="34"/>
      <c r="AQ310" s="123"/>
    </row>
    <row r="311" spans="1:43" s="122" customFormat="1" ht="13.8">
      <c r="A311" s="58" t="s">
        <v>420</v>
      </c>
      <c r="B311" s="44"/>
      <c r="C311" s="147" t="s">
        <v>395</v>
      </c>
      <c r="D311" s="94" t="s">
        <v>250</v>
      </c>
      <c r="E311" s="258"/>
      <c r="F311" s="88">
        <f>0.255*14*1</f>
        <v>3.5700000000000003</v>
      </c>
      <c r="G311" s="97">
        <v>1</v>
      </c>
      <c r="H311" s="144"/>
      <c r="J311" s="34"/>
      <c r="AQ311" s="123"/>
    </row>
    <row r="312" spans="1:43" s="122" customFormat="1" ht="13.8">
      <c r="A312" s="58" t="s">
        <v>421</v>
      </c>
      <c r="B312" s="44"/>
      <c r="C312" s="147" t="s">
        <v>397</v>
      </c>
      <c r="D312" s="94" t="s">
        <v>1021</v>
      </c>
      <c r="E312" s="258"/>
      <c r="F312" s="88">
        <f>0.255*19*1</f>
        <v>4.8449999999999998</v>
      </c>
      <c r="G312" s="97">
        <v>1</v>
      </c>
      <c r="H312" s="144"/>
      <c r="J312" s="34"/>
      <c r="AQ312" s="123"/>
    </row>
    <row r="313" spans="1:43" s="122" customFormat="1" ht="13.8">
      <c r="A313" s="58" t="s">
        <v>422</v>
      </c>
      <c r="B313" s="44"/>
      <c r="C313" s="147" t="s">
        <v>399</v>
      </c>
      <c r="D313" s="94" t="s">
        <v>250</v>
      </c>
      <c r="E313" s="258"/>
      <c r="F313" s="88">
        <f>0.255*14*1</f>
        <v>3.5700000000000003</v>
      </c>
      <c r="G313" s="97">
        <v>1</v>
      </c>
      <c r="H313" s="144"/>
      <c r="J313" s="34"/>
      <c r="AQ313" s="123"/>
    </row>
    <row r="314" spans="1:43" s="122" customFormat="1" ht="13.8">
      <c r="A314" s="58" t="s">
        <v>423</v>
      </c>
      <c r="B314" s="44"/>
      <c r="C314" s="147" t="s">
        <v>401</v>
      </c>
      <c r="D314" s="94" t="s">
        <v>250</v>
      </c>
      <c r="E314" s="258"/>
      <c r="F314" s="88">
        <f>0.255*14*1</f>
        <v>3.5700000000000003</v>
      </c>
      <c r="G314" s="97">
        <v>1</v>
      </c>
      <c r="H314" s="144"/>
      <c r="J314" s="34"/>
      <c r="AQ314" s="123"/>
    </row>
    <row r="315" spans="1:43" s="122" customFormat="1" ht="13.8">
      <c r="A315" s="58" t="s">
        <v>424</v>
      </c>
      <c r="B315" s="44"/>
      <c r="C315" s="147" t="s">
        <v>403</v>
      </c>
      <c r="D315" s="94" t="s">
        <v>1022</v>
      </c>
      <c r="E315" s="258"/>
      <c r="F315" s="88">
        <f>0.255*23*1</f>
        <v>5.8650000000000002</v>
      </c>
      <c r="G315" s="97">
        <v>1</v>
      </c>
      <c r="H315" s="144"/>
      <c r="J315" s="34"/>
      <c r="AQ315" s="123"/>
    </row>
    <row r="316" spans="1:43" s="122" customFormat="1" ht="13.8">
      <c r="A316" s="58" t="s">
        <v>425</v>
      </c>
      <c r="B316" s="44"/>
      <c r="C316" s="147" t="s">
        <v>226</v>
      </c>
      <c r="D316" s="94" t="s">
        <v>1023</v>
      </c>
      <c r="E316" s="258"/>
      <c r="F316" s="88">
        <f>0.185*20*3</f>
        <v>11.100000000000001</v>
      </c>
      <c r="G316" s="97">
        <v>3</v>
      </c>
      <c r="H316" s="144"/>
      <c r="J316" s="34"/>
      <c r="AQ316" s="123"/>
    </row>
    <row r="317" spans="1:43" s="122" customFormat="1" ht="13.8">
      <c r="A317" s="58" t="s">
        <v>426</v>
      </c>
      <c r="B317" s="44"/>
      <c r="C317" s="147" t="s">
        <v>226</v>
      </c>
      <c r="D317" s="129" t="s">
        <v>1105</v>
      </c>
      <c r="E317" s="258"/>
      <c r="F317" s="88">
        <f>0.44*18*2</f>
        <v>15.84</v>
      </c>
      <c r="G317" s="97">
        <v>2</v>
      </c>
      <c r="H317" s="144"/>
      <c r="J317" s="34"/>
      <c r="AQ317" s="123"/>
    </row>
    <row r="318" spans="1:43" s="122" customFormat="1" ht="13.8">
      <c r="A318" s="58" t="s">
        <v>427</v>
      </c>
      <c r="B318" s="44"/>
      <c r="C318" s="147"/>
      <c r="D318" s="94"/>
      <c r="E318" s="258"/>
      <c r="F318" s="88"/>
      <c r="G318" s="97"/>
      <c r="H318" s="144"/>
      <c r="J318" s="34"/>
      <c r="AQ318" s="123"/>
    </row>
    <row r="319" spans="1:43" s="122" customFormat="1" ht="13.8">
      <c r="A319" s="58" t="s">
        <v>428</v>
      </c>
      <c r="B319" s="44"/>
      <c r="C319" s="141" t="s">
        <v>962</v>
      </c>
      <c r="D319" s="143" t="s">
        <v>1394</v>
      </c>
      <c r="E319" s="258"/>
      <c r="F319" s="88"/>
      <c r="G319" s="97"/>
      <c r="H319" s="144"/>
      <c r="J319" s="34"/>
      <c r="AQ319" s="123"/>
    </row>
    <row r="320" spans="1:43" s="122" customFormat="1" ht="13.8">
      <c r="A320" s="58" t="s">
        <v>429</v>
      </c>
      <c r="B320" s="44"/>
      <c r="C320" s="147" t="s">
        <v>475</v>
      </c>
      <c r="D320" s="94" t="s">
        <v>1021</v>
      </c>
      <c r="E320" s="258"/>
      <c r="F320" s="88">
        <f>0.255*19*1</f>
        <v>4.8449999999999998</v>
      </c>
      <c r="G320" s="97">
        <v>1</v>
      </c>
      <c r="H320" s="144"/>
      <c r="J320" s="34"/>
      <c r="AQ320" s="123"/>
    </row>
    <row r="321" spans="1:43" s="122" customFormat="1" ht="13.8">
      <c r="A321" s="58" t="s">
        <v>430</v>
      </c>
      <c r="B321" s="44"/>
      <c r="C321" s="147" t="s">
        <v>477</v>
      </c>
      <c r="D321" s="94" t="s">
        <v>999</v>
      </c>
      <c r="E321" s="258"/>
      <c r="F321" s="88">
        <f>0.255*16*1</f>
        <v>4.08</v>
      </c>
      <c r="G321" s="97">
        <v>1</v>
      </c>
      <c r="H321" s="144"/>
      <c r="J321" s="34"/>
      <c r="AQ321" s="123"/>
    </row>
    <row r="322" spans="1:43" s="122" customFormat="1" ht="13.8">
      <c r="A322" s="58" t="s">
        <v>431</v>
      </c>
      <c r="B322" s="44"/>
      <c r="C322" s="147" t="s">
        <v>479</v>
      </c>
      <c r="D322" s="94" t="s">
        <v>999</v>
      </c>
      <c r="E322" s="258"/>
      <c r="F322" s="88">
        <f>0.255*16*1</f>
        <v>4.08</v>
      </c>
      <c r="G322" s="97">
        <v>1</v>
      </c>
      <c r="H322" s="144"/>
      <c r="J322" s="34"/>
      <c r="AQ322" s="123"/>
    </row>
    <row r="323" spans="1:43" s="122" customFormat="1" ht="13.8">
      <c r="A323" s="58" t="s">
        <v>432</v>
      </c>
      <c r="B323" s="44"/>
      <c r="C323" s="147" t="s">
        <v>481</v>
      </c>
      <c r="D323" s="94" t="s">
        <v>999</v>
      </c>
      <c r="E323" s="258"/>
      <c r="F323" s="88">
        <f>0.255*16*1</f>
        <v>4.08</v>
      </c>
      <c r="G323" s="97">
        <v>1</v>
      </c>
      <c r="H323" s="144"/>
      <c r="J323" s="34"/>
      <c r="AQ323" s="123"/>
    </row>
    <row r="324" spans="1:43" s="122" customFormat="1" ht="13.8">
      <c r="A324" s="58" t="s">
        <v>433</v>
      </c>
      <c r="B324" s="44"/>
      <c r="C324" s="147" t="s">
        <v>483</v>
      </c>
      <c r="D324" s="94" t="s">
        <v>999</v>
      </c>
      <c r="E324" s="258"/>
      <c r="F324" s="88">
        <f t="shared" ref="F324:F326" si="7">0.255*16*1</f>
        <v>4.08</v>
      </c>
      <c r="G324" s="97">
        <v>1</v>
      </c>
      <c r="H324" s="144"/>
      <c r="J324" s="34"/>
      <c r="AQ324" s="123"/>
    </row>
    <row r="325" spans="1:43" s="122" customFormat="1" ht="13.8">
      <c r="A325" s="58" t="s">
        <v>435</v>
      </c>
      <c r="B325" s="44"/>
      <c r="C325" s="147" t="s">
        <v>485</v>
      </c>
      <c r="D325" s="94" t="s">
        <v>999</v>
      </c>
      <c r="E325" s="258"/>
      <c r="F325" s="88">
        <f t="shared" si="7"/>
        <v>4.08</v>
      </c>
      <c r="G325" s="97">
        <v>1</v>
      </c>
      <c r="H325" s="144"/>
      <c r="J325" s="34"/>
      <c r="AQ325" s="123"/>
    </row>
    <row r="326" spans="1:43" s="122" customFormat="1" ht="13.8">
      <c r="A326" s="58" t="s">
        <v>437</v>
      </c>
      <c r="B326" s="44"/>
      <c r="C326" s="147" t="s">
        <v>487</v>
      </c>
      <c r="D326" s="94" t="s">
        <v>999</v>
      </c>
      <c r="E326" s="258"/>
      <c r="F326" s="88">
        <f t="shared" si="7"/>
        <v>4.08</v>
      </c>
      <c r="G326" s="97">
        <v>1</v>
      </c>
      <c r="H326" s="144"/>
      <c r="J326" s="34"/>
      <c r="AQ326" s="123"/>
    </row>
    <row r="327" spans="1:43" s="122" customFormat="1" ht="13.8">
      <c r="A327" s="58" t="s">
        <v>438</v>
      </c>
      <c r="B327" s="44"/>
      <c r="C327" s="147" t="s">
        <v>489</v>
      </c>
      <c r="D327" s="94" t="s">
        <v>1024</v>
      </c>
      <c r="E327" s="258"/>
      <c r="F327" s="88">
        <f>0.255*21*1</f>
        <v>5.3550000000000004</v>
      </c>
      <c r="G327" s="97">
        <v>1</v>
      </c>
      <c r="H327" s="144"/>
      <c r="J327" s="34"/>
      <c r="AQ327" s="123"/>
    </row>
    <row r="328" spans="1:43" s="122" customFormat="1" ht="13.8">
      <c r="A328" s="58" t="s">
        <v>439</v>
      </c>
      <c r="B328" s="44"/>
      <c r="C328" s="147" t="s">
        <v>491</v>
      </c>
      <c r="D328" s="94" t="s">
        <v>1002</v>
      </c>
      <c r="E328" s="258"/>
      <c r="F328" s="88">
        <f>0.255*20*1</f>
        <v>5.0999999999999996</v>
      </c>
      <c r="G328" s="97">
        <v>1</v>
      </c>
      <c r="H328" s="144"/>
      <c r="J328" s="34"/>
      <c r="AQ328" s="123"/>
    </row>
    <row r="329" spans="1:43" s="122" customFormat="1" ht="13.8">
      <c r="A329" s="58" t="s">
        <v>440</v>
      </c>
      <c r="B329" s="44"/>
      <c r="C329" s="147" t="s">
        <v>219</v>
      </c>
      <c r="D329" s="94" t="s">
        <v>1002</v>
      </c>
      <c r="E329" s="258"/>
      <c r="F329" s="88">
        <f>0.255*20*1</f>
        <v>5.0999999999999996</v>
      </c>
      <c r="G329" s="97">
        <v>1</v>
      </c>
      <c r="H329" s="144"/>
      <c r="J329" s="34"/>
      <c r="AQ329" s="123"/>
    </row>
    <row r="330" spans="1:43" s="122" customFormat="1" ht="13.8">
      <c r="A330" s="58" t="s">
        <v>441</v>
      </c>
      <c r="B330" s="44"/>
      <c r="C330" s="147" t="s">
        <v>221</v>
      </c>
      <c r="D330" s="94" t="s">
        <v>1002</v>
      </c>
      <c r="E330" s="258"/>
      <c r="F330" s="88">
        <f>0.255*20*1</f>
        <v>5.0999999999999996</v>
      </c>
      <c r="G330" s="97">
        <v>1</v>
      </c>
      <c r="H330" s="144"/>
      <c r="J330" s="34"/>
      <c r="AQ330" s="123"/>
    </row>
    <row r="331" spans="1:43" s="122" customFormat="1" ht="13.8">
      <c r="A331" s="58" t="s">
        <v>442</v>
      </c>
      <c r="B331" s="44"/>
      <c r="C331" s="147"/>
      <c r="D331" s="94"/>
      <c r="E331" s="258"/>
      <c r="F331" s="88"/>
      <c r="G331" s="97"/>
      <c r="H331" s="144"/>
      <c r="J331" s="34"/>
      <c r="AQ331" s="123"/>
    </row>
    <row r="332" spans="1:43" s="122" customFormat="1" ht="13.8">
      <c r="A332" s="58" t="s">
        <v>443</v>
      </c>
      <c r="B332" s="44"/>
      <c r="C332" s="141" t="s">
        <v>962</v>
      </c>
      <c r="D332" s="143" t="s">
        <v>1395</v>
      </c>
      <c r="E332" s="258"/>
      <c r="F332" s="88"/>
      <c r="G332" s="97"/>
      <c r="H332" s="144"/>
      <c r="J332" s="34"/>
      <c r="AQ332" s="123"/>
    </row>
    <row r="333" spans="1:43" s="122" customFormat="1" ht="13.8">
      <c r="A333" s="58" t="s">
        <v>444</v>
      </c>
      <c r="B333" s="44"/>
      <c r="C333" s="147" t="s">
        <v>556</v>
      </c>
      <c r="D333" s="94" t="s">
        <v>999</v>
      </c>
      <c r="E333" s="258"/>
      <c r="F333" s="88">
        <f t="shared" ref="F333:F339" si="8">0.255*16*1</f>
        <v>4.08</v>
      </c>
      <c r="G333" s="97">
        <v>1</v>
      </c>
      <c r="H333" s="144"/>
      <c r="J333" s="34"/>
      <c r="AQ333" s="123"/>
    </row>
    <row r="334" spans="1:43" s="122" customFormat="1" ht="13.8">
      <c r="A334" s="58" t="s">
        <v>446</v>
      </c>
      <c r="B334" s="44"/>
      <c r="C334" s="147" t="s">
        <v>558</v>
      </c>
      <c r="D334" s="94" t="s">
        <v>999</v>
      </c>
      <c r="E334" s="258"/>
      <c r="F334" s="88">
        <f t="shared" si="8"/>
        <v>4.08</v>
      </c>
      <c r="G334" s="97">
        <v>1</v>
      </c>
      <c r="H334" s="144"/>
      <c r="J334" s="34"/>
      <c r="AQ334" s="123"/>
    </row>
    <row r="335" spans="1:43" s="122" customFormat="1" ht="13.8">
      <c r="A335" s="58" t="s">
        <v>447</v>
      </c>
      <c r="B335" s="44"/>
      <c r="C335" s="147" t="s">
        <v>560</v>
      </c>
      <c r="D335" s="94" t="s">
        <v>999</v>
      </c>
      <c r="E335" s="258"/>
      <c r="F335" s="88">
        <f t="shared" si="8"/>
        <v>4.08</v>
      </c>
      <c r="G335" s="97">
        <v>1</v>
      </c>
      <c r="H335" s="144"/>
      <c r="J335" s="34"/>
      <c r="AQ335" s="123"/>
    </row>
    <row r="336" spans="1:43" s="122" customFormat="1" ht="13.8">
      <c r="A336" s="58" t="s">
        <v>448</v>
      </c>
      <c r="B336" s="44"/>
      <c r="C336" s="147" t="s">
        <v>562</v>
      </c>
      <c r="D336" s="94" t="s">
        <v>999</v>
      </c>
      <c r="E336" s="258"/>
      <c r="F336" s="88">
        <f t="shared" si="8"/>
        <v>4.08</v>
      </c>
      <c r="G336" s="97">
        <v>1</v>
      </c>
      <c r="H336" s="144"/>
      <c r="J336" s="34"/>
      <c r="AQ336" s="123"/>
    </row>
    <row r="337" spans="1:43" s="122" customFormat="1" ht="13.8">
      <c r="A337" s="58" t="s">
        <v>449</v>
      </c>
      <c r="B337" s="44"/>
      <c r="C337" s="147" t="s">
        <v>1025</v>
      </c>
      <c r="D337" s="94" t="s">
        <v>999</v>
      </c>
      <c r="E337" s="258"/>
      <c r="F337" s="88">
        <f t="shared" si="8"/>
        <v>4.08</v>
      </c>
      <c r="G337" s="97">
        <v>1</v>
      </c>
      <c r="H337" s="144"/>
      <c r="J337" s="34"/>
      <c r="AQ337" s="123"/>
    </row>
    <row r="338" spans="1:43" s="122" customFormat="1" ht="13.8">
      <c r="A338" s="58" t="s">
        <v>451</v>
      </c>
      <c r="B338" s="44"/>
      <c r="C338" s="147" t="s">
        <v>565</v>
      </c>
      <c r="D338" s="94" t="s">
        <v>999</v>
      </c>
      <c r="E338" s="258"/>
      <c r="F338" s="88">
        <f t="shared" si="8"/>
        <v>4.08</v>
      </c>
      <c r="G338" s="97">
        <v>1</v>
      </c>
      <c r="H338" s="144"/>
      <c r="J338" s="34"/>
      <c r="AQ338" s="123"/>
    </row>
    <row r="339" spans="1:43" s="122" customFormat="1" ht="13.8">
      <c r="A339" s="58" t="s">
        <v>452</v>
      </c>
      <c r="B339" s="44"/>
      <c r="C339" s="147" t="s">
        <v>567</v>
      </c>
      <c r="D339" s="94" t="s">
        <v>999</v>
      </c>
      <c r="E339" s="258"/>
      <c r="F339" s="88">
        <f t="shared" si="8"/>
        <v>4.08</v>
      </c>
      <c r="G339" s="97">
        <v>1</v>
      </c>
      <c r="H339" s="144"/>
      <c r="J339" s="34"/>
      <c r="AQ339" s="123"/>
    </row>
    <row r="340" spans="1:43" s="122" customFormat="1" ht="13.8">
      <c r="A340" s="58" t="s">
        <v>453</v>
      </c>
      <c r="B340" s="44"/>
      <c r="C340" s="147" t="s">
        <v>371</v>
      </c>
      <c r="D340" s="19" t="s">
        <v>1021</v>
      </c>
      <c r="E340" s="258"/>
      <c r="F340" s="88">
        <f>0.255*19*1</f>
        <v>4.8449999999999998</v>
      </c>
      <c r="G340" s="97">
        <v>1</v>
      </c>
      <c r="H340" s="144"/>
      <c r="J340" s="34"/>
      <c r="AQ340" s="123"/>
    </row>
    <row r="341" spans="1:43" s="122" customFormat="1" ht="13.8">
      <c r="A341" s="58" t="s">
        <v>454</v>
      </c>
      <c r="B341" s="44"/>
      <c r="C341" s="147" t="s">
        <v>373</v>
      </c>
      <c r="D341" s="19" t="s">
        <v>987</v>
      </c>
      <c r="E341" s="258"/>
      <c r="F341" s="88">
        <f>0.255*18*1</f>
        <v>4.59</v>
      </c>
      <c r="G341" s="97">
        <v>1</v>
      </c>
      <c r="H341" s="144"/>
      <c r="J341" s="34"/>
      <c r="AQ341" s="123"/>
    </row>
    <row r="342" spans="1:43" s="122" customFormat="1" ht="13.8">
      <c r="A342" s="58" t="s">
        <v>455</v>
      </c>
      <c r="B342" s="44"/>
      <c r="C342" s="147" t="s">
        <v>374</v>
      </c>
      <c r="D342" s="94" t="s">
        <v>265</v>
      </c>
      <c r="E342" s="258"/>
      <c r="F342" s="88">
        <f>0.255*20*2</f>
        <v>10.199999999999999</v>
      </c>
      <c r="G342" s="97">
        <v>2</v>
      </c>
      <c r="H342" s="144"/>
      <c r="J342" s="34"/>
      <c r="AQ342" s="123"/>
    </row>
    <row r="343" spans="1:43" s="122" customFormat="1" ht="13.8">
      <c r="A343" s="58" t="s">
        <v>456</v>
      </c>
      <c r="B343" s="44"/>
      <c r="C343" s="147"/>
      <c r="D343" s="94"/>
      <c r="E343" s="258"/>
      <c r="F343" s="88"/>
      <c r="G343" s="97"/>
      <c r="H343" s="144"/>
      <c r="J343" s="34"/>
      <c r="AQ343" s="123"/>
    </row>
    <row r="344" spans="1:43" s="122" customFormat="1" ht="13.8">
      <c r="A344" s="58" t="s">
        <v>457</v>
      </c>
      <c r="B344" s="44"/>
      <c r="C344" s="141" t="s">
        <v>962</v>
      </c>
      <c r="D344" s="143" t="s">
        <v>1396</v>
      </c>
      <c r="E344" s="258"/>
      <c r="F344" s="88"/>
      <c r="G344" s="97"/>
      <c r="H344" s="144"/>
      <c r="J344" s="34"/>
      <c r="AQ344" s="123"/>
    </row>
    <row r="345" spans="1:43" s="122" customFormat="1" ht="13.8">
      <c r="A345" s="58" t="s">
        <v>458</v>
      </c>
      <c r="B345" s="44"/>
      <c r="C345" s="147" t="s">
        <v>506</v>
      </c>
      <c r="D345" s="94" t="s">
        <v>1026</v>
      </c>
      <c r="E345" s="258"/>
      <c r="F345" s="88">
        <f>0.255*25*1</f>
        <v>6.375</v>
      </c>
      <c r="G345" s="97">
        <v>1</v>
      </c>
      <c r="H345" s="144"/>
      <c r="J345" s="34"/>
      <c r="AQ345" s="123"/>
    </row>
    <row r="346" spans="1:43" s="122" customFormat="1" ht="13.8">
      <c r="A346" s="58" t="s">
        <v>460</v>
      </c>
      <c r="B346" s="44"/>
      <c r="C346" s="147" t="s">
        <v>507</v>
      </c>
      <c r="D346" s="94" t="s">
        <v>1026</v>
      </c>
      <c r="E346" s="258"/>
      <c r="F346" s="88">
        <f>0.255*25*1</f>
        <v>6.375</v>
      </c>
      <c r="G346" s="97">
        <v>1</v>
      </c>
      <c r="H346" s="144"/>
      <c r="J346" s="34"/>
      <c r="AQ346" s="123"/>
    </row>
    <row r="347" spans="1:43" s="122" customFormat="1" ht="13.8">
      <c r="A347" s="58" t="s">
        <v>461</v>
      </c>
      <c r="B347" s="44"/>
      <c r="C347" s="147" t="s">
        <v>508</v>
      </c>
      <c r="D347" s="94" t="s">
        <v>1026</v>
      </c>
      <c r="E347" s="258"/>
      <c r="F347" s="88">
        <f>0.255*25*1</f>
        <v>6.375</v>
      </c>
      <c r="G347" s="97">
        <v>1</v>
      </c>
      <c r="H347" s="144"/>
      <c r="J347" s="34"/>
      <c r="AQ347" s="123"/>
    </row>
    <row r="348" spans="1:43" s="122" customFormat="1" ht="13.8">
      <c r="A348" s="58" t="s">
        <v>463</v>
      </c>
      <c r="B348" s="44"/>
      <c r="C348" s="147" t="s">
        <v>508</v>
      </c>
      <c r="D348" s="94" t="s">
        <v>1027</v>
      </c>
      <c r="E348" s="258"/>
      <c r="F348" s="88">
        <f>0.255*23*1</f>
        <v>5.8650000000000002</v>
      </c>
      <c r="G348" s="97">
        <v>1</v>
      </c>
      <c r="H348" s="144"/>
      <c r="J348" s="34"/>
      <c r="AQ348" s="123"/>
    </row>
    <row r="349" spans="1:43" s="122" customFormat="1" ht="13.8">
      <c r="A349" s="58" t="s">
        <v>464</v>
      </c>
      <c r="B349" s="44"/>
      <c r="C349" s="147" t="s">
        <v>509</v>
      </c>
      <c r="D349" s="94" t="s">
        <v>1029</v>
      </c>
      <c r="E349" s="258"/>
      <c r="F349" s="88">
        <f>0.255*23*2</f>
        <v>11.73</v>
      </c>
      <c r="G349" s="97">
        <v>2</v>
      </c>
      <c r="H349" s="144"/>
      <c r="J349" s="34"/>
      <c r="AQ349" s="123"/>
    </row>
    <row r="350" spans="1:43" s="122" customFormat="1" ht="13.8">
      <c r="A350" s="58" t="s">
        <v>466</v>
      </c>
      <c r="B350" s="44"/>
      <c r="C350" s="147" t="s">
        <v>510</v>
      </c>
      <c r="D350" s="94" t="s">
        <v>1028</v>
      </c>
      <c r="E350" s="258"/>
      <c r="F350" s="88">
        <f>0.255*26*2</f>
        <v>13.26</v>
      </c>
      <c r="G350" s="97">
        <v>2</v>
      </c>
      <c r="H350" s="144"/>
      <c r="J350" s="34"/>
      <c r="AQ350" s="123"/>
    </row>
    <row r="351" spans="1:43" s="122" customFormat="1" ht="13.8">
      <c r="A351" s="58" t="s">
        <v>468</v>
      </c>
      <c r="B351" s="44"/>
      <c r="C351" s="147" t="s">
        <v>511</v>
      </c>
      <c r="D351" s="94" t="s">
        <v>1029</v>
      </c>
      <c r="E351" s="258"/>
      <c r="F351" s="88">
        <f>0.255*23*2</f>
        <v>11.73</v>
      </c>
      <c r="G351" s="97">
        <v>2</v>
      </c>
      <c r="H351" s="144"/>
      <c r="J351" s="34"/>
      <c r="AQ351" s="123"/>
    </row>
    <row r="352" spans="1:43" s="122" customFormat="1" ht="13.8">
      <c r="A352" s="58" t="s">
        <v>470</v>
      </c>
      <c r="B352" s="44"/>
      <c r="C352" s="147" t="s">
        <v>512</v>
      </c>
      <c r="D352" s="94" t="s">
        <v>1106</v>
      </c>
      <c r="E352" s="258"/>
      <c r="F352" s="88">
        <f>0.255*28*1</f>
        <v>7.1400000000000006</v>
      </c>
      <c r="G352" s="97">
        <v>1</v>
      </c>
      <c r="H352" s="144"/>
      <c r="J352" s="34"/>
      <c r="AQ352" s="123"/>
    </row>
    <row r="353" spans="1:43" s="122" customFormat="1" ht="13.8">
      <c r="A353" s="58" t="s">
        <v>472</v>
      </c>
      <c r="B353" s="44"/>
      <c r="C353" s="147" t="s">
        <v>512</v>
      </c>
      <c r="D353" s="94" t="s">
        <v>1107</v>
      </c>
      <c r="E353" s="258"/>
      <c r="F353" s="88">
        <f>0.255*11*1</f>
        <v>2.8050000000000002</v>
      </c>
      <c r="G353" s="97">
        <v>1</v>
      </c>
      <c r="H353" s="144"/>
      <c r="J353" s="34"/>
      <c r="AQ353" s="123"/>
    </row>
    <row r="354" spans="1:43" s="122" customFormat="1" ht="13.8">
      <c r="A354" s="58" t="s">
        <v>474</v>
      </c>
      <c r="B354" s="44"/>
      <c r="C354" s="147"/>
      <c r="D354" s="94"/>
      <c r="E354" s="258"/>
      <c r="F354" s="88"/>
      <c r="G354" s="97"/>
      <c r="H354" s="144"/>
      <c r="J354" s="34"/>
      <c r="AQ354" s="123"/>
    </row>
    <row r="355" spans="1:43" s="122" customFormat="1" ht="13.8">
      <c r="A355" s="58" t="s">
        <v>476</v>
      </c>
      <c r="B355" s="44"/>
      <c r="C355" s="145"/>
      <c r="D355" s="140" t="s">
        <v>1030</v>
      </c>
      <c r="E355" s="258"/>
      <c r="F355" s="88"/>
      <c r="G355" s="97"/>
      <c r="H355" s="144"/>
      <c r="J355" s="34"/>
      <c r="AQ355" s="123"/>
    </row>
    <row r="356" spans="1:43" s="122" customFormat="1" ht="13.8">
      <c r="A356" s="58" t="s">
        <v>478</v>
      </c>
      <c r="B356" s="44"/>
      <c r="C356" s="145"/>
      <c r="D356" s="107" t="s">
        <v>1397</v>
      </c>
      <c r="E356" s="257" t="s">
        <v>41</v>
      </c>
      <c r="F356" s="49">
        <f>SUM(F358:F386)</f>
        <v>174.25</v>
      </c>
      <c r="G356" s="97"/>
      <c r="H356" s="144"/>
      <c r="J356" s="34"/>
      <c r="AQ356" s="123"/>
    </row>
    <row r="357" spans="1:43" s="122" customFormat="1" ht="13.8">
      <c r="A357" s="58" t="s">
        <v>480</v>
      </c>
      <c r="B357" s="44"/>
      <c r="C357" s="141" t="s">
        <v>962</v>
      </c>
      <c r="D357" s="143" t="s">
        <v>1398</v>
      </c>
      <c r="E357" s="258"/>
      <c r="F357" s="88"/>
      <c r="G357" s="97"/>
      <c r="H357" s="144"/>
      <c r="J357" s="34"/>
      <c r="AQ357" s="123"/>
    </row>
    <row r="358" spans="1:43" s="122" customFormat="1" ht="13.8">
      <c r="A358" s="58" t="s">
        <v>482</v>
      </c>
      <c r="B358" s="44"/>
      <c r="C358" s="147" t="s">
        <v>237</v>
      </c>
      <c r="D358" s="94" t="s">
        <v>1032</v>
      </c>
      <c r="E358" s="258"/>
      <c r="F358" s="88">
        <f>0.205*13*1</f>
        <v>2.665</v>
      </c>
      <c r="G358" s="97">
        <v>1</v>
      </c>
      <c r="H358" s="144"/>
      <c r="J358" s="34"/>
      <c r="AQ358" s="123"/>
    </row>
    <row r="359" spans="1:43" s="122" customFormat="1" ht="13.8">
      <c r="A359" s="58" t="s">
        <v>484</v>
      </c>
      <c r="B359" s="44"/>
      <c r="C359" s="147" t="s">
        <v>239</v>
      </c>
      <c r="D359" s="94" t="s">
        <v>1033</v>
      </c>
      <c r="E359" s="258"/>
      <c r="F359" s="88">
        <f>0.205*12*1</f>
        <v>2.46</v>
      </c>
      <c r="G359" s="97">
        <v>1</v>
      </c>
      <c r="H359" s="144"/>
      <c r="J359" s="34"/>
      <c r="AQ359" s="123"/>
    </row>
    <row r="360" spans="1:43" s="122" customFormat="1" ht="13.8">
      <c r="A360" s="58" t="s">
        <v>486</v>
      </c>
      <c r="B360" s="44"/>
      <c r="C360" s="147" t="s">
        <v>1031</v>
      </c>
      <c r="D360" s="94" t="s">
        <v>1034</v>
      </c>
      <c r="E360" s="258"/>
      <c r="F360" s="88">
        <f>0.205*8*1</f>
        <v>1.64</v>
      </c>
      <c r="G360" s="97">
        <v>1</v>
      </c>
      <c r="H360" s="144"/>
      <c r="J360" s="34"/>
      <c r="AQ360" s="123"/>
    </row>
    <row r="361" spans="1:43" s="122" customFormat="1" ht="13.8">
      <c r="A361" s="58" t="s">
        <v>488</v>
      </c>
      <c r="B361" s="44"/>
      <c r="C361" s="147" t="s">
        <v>165</v>
      </c>
      <c r="D361" s="94" t="s">
        <v>1035</v>
      </c>
      <c r="E361" s="258"/>
      <c r="F361" s="88">
        <f>0.205*5*1</f>
        <v>1.0249999999999999</v>
      </c>
      <c r="G361" s="97">
        <v>1</v>
      </c>
      <c r="H361" s="144"/>
      <c r="J361" s="34"/>
      <c r="AQ361" s="123"/>
    </row>
    <row r="362" spans="1:43" s="122" customFormat="1" ht="13.8">
      <c r="A362" s="58" t="s">
        <v>490</v>
      </c>
      <c r="B362" s="44"/>
      <c r="C362" s="147" t="s">
        <v>171</v>
      </c>
      <c r="D362" s="94" t="s">
        <v>1035</v>
      </c>
      <c r="E362" s="258"/>
      <c r="F362" s="88">
        <f>0.205*5*1</f>
        <v>1.0249999999999999</v>
      </c>
      <c r="G362" s="97">
        <v>1</v>
      </c>
      <c r="H362" s="144"/>
      <c r="J362" s="34"/>
      <c r="AQ362" s="123"/>
    </row>
    <row r="363" spans="1:43" s="122" customFormat="1" ht="13.8">
      <c r="A363" s="58" t="s">
        <v>492</v>
      </c>
      <c r="B363" s="44"/>
      <c r="C363" s="147" t="s">
        <v>235</v>
      </c>
      <c r="D363" s="94" t="s">
        <v>1034</v>
      </c>
      <c r="E363" s="258"/>
      <c r="F363" s="88">
        <f>0.205*8*1</f>
        <v>1.64</v>
      </c>
      <c r="G363" s="97">
        <v>1</v>
      </c>
      <c r="H363" s="144"/>
      <c r="J363" s="34"/>
      <c r="AQ363" s="123"/>
    </row>
    <row r="364" spans="1:43" s="122" customFormat="1" ht="13.8">
      <c r="A364" s="58" t="s">
        <v>493</v>
      </c>
      <c r="B364" s="44"/>
      <c r="C364" s="147"/>
      <c r="D364" s="94"/>
      <c r="E364" s="258"/>
      <c r="F364" s="88"/>
      <c r="G364" s="97"/>
      <c r="H364" s="144"/>
      <c r="J364" s="34"/>
      <c r="AQ364" s="123"/>
    </row>
    <row r="365" spans="1:43" s="122" customFormat="1" ht="13.8">
      <c r="A365" s="58" t="s">
        <v>494</v>
      </c>
      <c r="B365" s="44"/>
      <c r="C365" s="141" t="s">
        <v>962</v>
      </c>
      <c r="D365" s="143" t="s">
        <v>1399</v>
      </c>
      <c r="E365" s="258"/>
      <c r="F365" s="88"/>
      <c r="G365" s="97"/>
      <c r="H365" s="144"/>
      <c r="J365" s="34"/>
      <c r="AQ365" s="123"/>
    </row>
    <row r="366" spans="1:43" s="122" customFormat="1" ht="13.8">
      <c r="A366" s="58" t="s">
        <v>495</v>
      </c>
      <c r="B366" s="44"/>
      <c r="C366" s="147" t="s">
        <v>984</v>
      </c>
      <c r="D366" s="129" t="s">
        <v>1036</v>
      </c>
      <c r="E366" s="258"/>
      <c r="F366" s="88">
        <f>0.44*18*1</f>
        <v>7.92</v>
      </c>
      <c r="G366" s="97">
        <v>1</v>
      </c>
      <c r="H366" s="144"/>
      <c r="J366" s="34"/>
      <c r="AQ366" s="123"/>
    </row>
    <row r="367" spans="1:43" s="122" customFormat="1" ht="13.8">
      <c r="A367" s="58" t="s">
        <v>496</v>
      </c>
      <c r="B367" s="44"/>
      <c r="C367" s="147" t="s">
        <v>1037</v>
      </c>
      <c r="D367" s="129" t="s">
        <v>1038</v>
      </c>
      <c r="E367" s="258"/>
      <c r="F367" s="88">
        <f>0.44*19*1</f>
        <v>8.36</v>
      </c>
      <c r="G367" s="97">
        <v>1</v>
      </c>
      <c r="H367" s="144"/>
      <c r="J367" s="34"/>
      <c r="AQ367" s="123"/>
    </row>
    <row r="368" spans="1:43" s="122" customFormat="1" ht="13.8">
      <c r="A368" s="58" t="s">
        <v>497</v>
      </c>
      <c r="B368" s="44"/>
      <c r="C368" s="147" t="s">
        <v>275</v>
      </c>
      <c r="D368" s="94" t="s">
        <v>1002</v>
      </c>
      <c r="E368" s="258"/>
      <c r="F368" s="88">
        <f>0.255*20*1</f>
        <v>5.0999999999999996</v>
      </c>
      <c r="G368" s="97">
        <v>1</v>
      </c>
      <c r="H368" s="144"/>
      <c r="J368" s="34"/>
      <c r="AQ368" s="123"/>
    </row>
    <row r="369" spans="1:43" s="122" customFormat="1" ht="13.8">
      <c r="A369" s="58" t="s">
        <v>498</v>
      </c>
      <c r="B369" s="44"/>
      <c r="C369" s="147" t="s">
        <v>275</v>
      </c>
      <c r="D369" s="94" t="s">
        <v>1039</v>
      </c>
      <c r="E369" s="258"/>
      <c r="F369" s="88"/>
      <c r="G369" s="97"/>
      <c r="H369" s="144"/>
      <c r="J369" s="34"/>
      <c r="AQ369" s="123"/>
    </row>
    <row r="370" spans="1:43" s="122" customFormat="1" ht="13.8">
      <c r="A370" s="58" t="s">
        <v>499</v>
      </c>
      <c r="B370" s="44"/>
      <c r="C370" s="147"/>
      <c r="D370" s="94"/>
      <c r="E370" s="258"/>
      <c r="F370" s="88"/>
      <c r="G370" s="97"/>
      <c r="H370" s="144"/>
      <c r="J370" s="34"/>
      <c r="AQ370" s="123"/>
    </row>
    <row r="371" spans="1:43" s="122" customFormat="1" ht="13.8">
      <c r="A371" s="58" t="s">
        <v>500</v>
      </c>
      <c r="B371" s="44"/>
      <c r="C371" s="141" t="s">
        <v>962</v>
      </c>
      <c r="D371" s="143" t="s">
        <v>1400</v>
      </c>
      <c r="E371" s="258"/>
      <c r="F371" s="88"/>
      <c r="G371" s="97"/>
      <c r="H371" s="144"/>
      <c r="J371" s="34"/>
      <c r="AQ371" s="123"/>
    </row>
    <row r="372" spans="1:43" s="122" customFormat="1" ht="13.8">
      <c r="A372" s="58" t="s">
        <v>501</v>
      </c>
      <c r="B372" s="44"/>
      <c r="C372" s="147" t="s">
        <v>232</v>
      </c>
      <c r="D372" s="94" t="s">
        <v>997</v>
      </c>
      <c r="E372" s="258"/>
      <c r="F372" s="88">
        <f>0.255*22*1</f>
        <v>5.61</v>
      </c>
      <c r="G372" s="97">
        <v>1</v>
      </c>
      <c r="H372" s="144"/>
      <c r="J372" s="34"/>
      <c r="AQ372" s="123"/>
    </row>
    <row r="373" spans="1:43" s="122" customFormat="1" ht="13.8">
      <c r="A373" s="58" t="s">
        <v>502</v>
      </c>
      <c r="B373" s="44"/>
      <c r="C373" s="147"/>
      <c r="D373" s="129" t="s">
        <v>1040</v>
      </c>
      <c r="E373" s="258"/>
      <c r="F373" s="88">
        <f>0.44*25*1</f>
        <v>11</v>
      </c>
      <c r="G373" s="97">
        <v>1</v>
      </c>
      <c r="H373" s="144"/>
      <c r="J373" s="34"/>
      <c r="AQ373" s="123"/>
    </row>
    <row r="374" spans="1:43" s="122" customFormat="1" ht="13.8">
      <c r="A374" s="58" t="s">
        <v>503</v>
      </c>
      <c r="B374" s="44"/>
      <c r="C374" s="147"/>
      <c r="D374" s="129" t="s">
        <v>1041</v>
      </c>
      <c r="E374" s="258"/>
      <c r="F374" s="88">
        <f>0.44*20*4</f>
        <v>35.200000000000003</v>
      </c>
      <c r="G374" s="97">
        <v>4</v>
      </c>
      <c r="H374" s="144"/>
      <c r="J374" s="34"/>
      <c r="AQ374" s="123"/>
    </row>
    <row r="375" spans="1:43" s="122" customFormat="1" ht="13.8">
      <c r="A375" s="58" t="s">
        <v>504</v>
      </c>
      <c r="B375" s="44"/>
      <c r="C375" s="147"/>
      <c r="D375" s="94"/>
      <c r="E375" s="258"/>
      <c r="F375" s="88"/>
      <c r="G375" s="97"/>
      <c r="H375" s="144"/>
      <c r="J375" s="34"/>
      <c r="AQ375" s="123"/>
    </row>
    <row r="376" spans="1:43" s="122" customFormat="1" ht="13.8">
      <c r="A376" s="58" t="s">
        <v>505</v>
      </c>
      <c r="B376" s="44"/>
      <c r="C376" s="141" t="s">
        <v>962</v>
      </c>
      <c r="D376" s="143" t="s">
        <v>1401</v>
      </c>
      <c r="E376" s="258"/>
      <c r="F376" s="88"/>
      <c r="G376" s="97"/>
      <c r="H376" s="144"/>
      <c r="J376" s="34"/>
      <c r="AQ376" s="123"/>
    </row>
    <row r="377" spans="1:43" s="122" customFormat="1" ht="13.8">
      <c r="A377" s="58" t="s">
        <v>506</v>
      </c>
      <c r="B377" s="44"/>
      <c r="C377" s="147" t="s">
        <v>1042</v>
      </c>
      <c r="D377" s="94" t="s">
        <v>1043</v>
      </c>
      <c r="E377" s="258"/>
      <c r="F377" s="88">
        <f>0.255*14*1</f>
        <v>3.5700000000000003</v>
      </c>
      <c r="G377" s="97">
        <v>1</v>
      </c>
      <c r="H377" s="144"/>
      <c r="J377" s="34"/>
      <c r="AQ377" s="123"/>
    </row>
    <row r="378" spans="1:43" s="122" customFormat="1" ht="13.8">
      <c r="A378" s="58" t="s">
        <v>507</v>
      </c>
      <c r="B378" s="44"/>
      <c r="C378" s="147" t="s">
        <v>1042</v>
      </c>
      <c r="D378" s="129" t="s">
        <v>243</v>
      </c>
      <c r="E378" s="258"/>
      <c r="F378" s="88">
        <f>0.44*10*1</f>
        <v>4.4000000000000004</v>
      </c>
      <c r="G378" s="97">
        <v>1</v>
      </c>
      <c r="H378" s="144"/>
      <c r="J378" s="34"/>
      <c r="AQ378" s="123"/>
    </row>
    <row r="379" spans="1:43" s="122" customFormat="1" ht="13.8">
      <c r="A379" s="58" t="s">
        <v>508</v>
      </c>
      <c r="B379" s="44"/>
      <c r="C379" s="147"/>
      <c r="D379" s="94"/>
      <c r="E379" s="258"/>
      <c r="F379" s="88"/>
      <c r="G379" s="97"/>
      <c r="H379" s="144"/>
      <c r="J379" s="34"/>
      <c r="AQ379" s="123"/>
    </row>
    <row r="380" spans="1:43" s="122" customFormat="1" ht="13.8">
      <c r="A380" s="58" t="s">
        <v>509</v>
      </c>
      <c r="B380" s="44"/>
      <c r="C380" s="141" t="s">
        <v>962</v>
      </c>
      <c r="D380" s="143" t="s">
        <v>1402</v>
      </c>
      <c r="E380" s="258"/>
      <c r="F380" s="88"/>
      <c r="G380" s="97"/>
      <c r="H380" s="144"/>
      <c r="J380" s="34"/>
      <c r="AQ380" s="123"/>
    </row>
    <row r="381" spans="1:43" s="122" customFormat="1" ht="13.8">
      <c r="A381" s="58" t="s">
        <v>510</v>
      </c>
      <c r="B381" s="44"/>
      <c r="C381" s="147" t="s">
        <v>526</v>
      </c>
      <c r="D381" s="94" t="s">
        <v>1002</v>
      </c>
      <c r="E381" s="258"/>
      <c r="F381" s="88">
        <f>0.255*20*1</f>
        <v>5.0999999999999996</v>
      </c>
      <c r="G381" s="97">
        <v>1</v>
      </c>
      <c r="H381" s="144"/>
      <c r="J381" s="34"/>
      <c r="AQ381" s="123"/>
    </row>
    <row r="382" spans="1:43" s="122" customFormat="1" ht="13.8">
      <c r="A382" s="58" t="s">
        <v>511</v>
      </c>
      <c r="B382" s="44"/>
      <c r="C382" s="147" t="s">
        <v>448</v>
      </c>
      <c r="D382" s="94" t="s">
        <v>990</v>
      </c>
      <c r="E382" s="258"/>
      <c r="F382" s="88">
        <f>0.255*17*1</f>
        <v>4.335</v>
      </c>
      <c r="G382" s="97">
        <v>1</v>
      </c>
      <c r="H382" s="144"/>
      <c r="J382" s="34"/>
      <c r="AQ382" s="123"/>
    </row>
    <row r="383" spans="1:43" s="122" customFormat="1" ht="13.8">
      <c r="A383" s="58" t="s">
        <v>512</v>
      </c>
      <c r="B383" s="44"/>
      <c r="C383" s="147" t="s">
        <v>449</v>
      </c>
      <c r="D383" s="94" t="s">
        <v>1002</v>
      </c>
      <c r="E383" s="258"/>
      <c r="F383" s="88">
        <f>0.255*20*1</f>
        <v>5.0999999999999996</v>
      </c>
      <c r="G383" s="97">
        <v>1</v>
      </c>
      <c r="H383" s="144"/>
      <c r="J383" s="34"/>
      <c r="AQ383" s="123"/>
    </row>
    <row r="384" spans="1:43" s="122" customFormat="1" ht="13.8">
      <c r="A384" s="58" t="s">
        <v>513</v>
      </c>
      <c r="B384" s="44"/>
      <c r="C384" s="147" t="s">
        <v>447</v>
      </c>
      <c r="D384" s="129" t="s">
        <v>1045</v>
      </c>
      <c r="E384" s="258"/>
      <c r="F384" s="88">
        <f>0.44*20*3</f>
        <v>26.400000000000002</v>
      </c>
      <c r="G384" s="97">
        <v>3</v>
      </c>
      <c r="H384" s="144"/>
      <c r="J384" s="34"/>
      <c r="AQ384" s="123"/>
    </row>
    <row r="385" spans="1:43" s="122" customFormat="1" ht="13.8">
      <c r="A385" s="58" t="s">
        <v>514</v>
      </c>
      <c r="B385" s="44"/>
      <c r="C385" s="147" t="s">
        <v>449</v>
      </c>
      <c r="D385" s="94" t="s">
        <v>1046</v>
      </c>
      <c r="E385" s="258"/>
      <c r="F385" s="88">
        <f>0.255*20*3</f>
        <v>15.299999999999999</v>
      </c>
      <c r="G385" s="97">
        <v>3</v>
      </c>
      <c r="H385" s="144"/>
      <c r="J385" s="34"/>
      <c r="AQ385" s="123"/>
    </row>
    <row r="386" spans="1:43" s="122" customFormat="1" ht="13.8">
      <c r="A386" s="58" t="s">
        <v>515</v>
      </c>
      <c r="B386" s="44"/>
      <c r="C386" s="147" t="s">
        <v>449</v>
      </c>
      <c r="D386" s="94" t="s">
        <v>1322</v>
      </c>
      <c r="E386" s="258"/>
      <c r="F386" s="88">
        <f>0.44*20*G386</f>
        <v>26.400000000000002</v>
      </c>
      <c r="G386" s="97">
        <v>3</v>
      </c>
      <c r="H386" s="144"/>
      <c r="J386" s="34"/>
      <c r="AQ386" s="123"/>
    </row>
    <row r="387" spans="1:43" s="122" customFormat="1" ht="13.8">
      <c r="A387" s="58" t="s">
        <v>516</v>
      </c>
      <c r="B387" s="44"/>
      <c r="C387" s="147"/>
      <c r="D387" s="94"/>
      <c r="E387" s="258"/>
      <c r="F387" s="88"/>
      <c r="G387" s="97"/>
      <c r="H387" s="144"/>
      <c r="J387" s="34"/>
      <c r="AQ387" s="123"/>
    </row>
    <row r="388" spans="1:43" s="122" customFormat="1" ht="13.8">
      <c r="A388" s="58" t="s">
        <v>517</v>
      </c>
      <c r="B388" s="44"/>
      <c r="C388" s="145"/>
      <c r="D388" s="140" t="s">
        <v>1047</v>
      </c>
      <c r="E388" s="258"/>
      <c r="F388" s="88"/>
      <c r="G388" s="97"/>
      <c r="H388" s="144"/>
      <c r="J388" s="34"/>
      <c r="AQ388" s="123"/>
    </row>
    <row r="389" spans="1:43" s="122" customFormat="1" ht="13.8">
      <c r="A389" s="58" t="s">
        <v>518</v>
      </c>
      <c r="B389" s="44"/>
      <c r="C389" s="145"/>
      <c r="D389" s="107" t="s">
        <v>1403</v>
      </c>
      <c r="E389" s="257" t="s">
        <v>41</v>
      </c>
      <c r="F389" s="49">
        <f>SUM(F391:F416)</f>
        <v>124.43000000000002</v>
      </c>
      <c r="G389" s="97"/>
      <c r="H389" s="144"/>
      <c r="J389" s="34"/>
      <c r="AQ389" s="123"/>
    </row>
    <row r="390" spans="1:43" s="122" customFormat="1" ht="13.8">
      <c r="A390" s="58" t="s">
        <v>519</v>
      </c>
      <c r="B390" s="44"/>
      <c r="C390" s="141" t="s">
        <v>962</v>
      </c>
      <c r="D390" s="143" t="s">
        <v>1404</v>
      </c>
      <c r="E390" s="258"/>
      <c r="F390" s="88"/>
      <c r="G390" s="97"/>
      <c r="H390" s="144"/>
      <c r="J390" s="34"/>
      <c r="AQ390" s="123"/>
    </row>
    <row r="391" spans="1:43" s="122" customFormat="1" ht="13.8">
      <c r="A391" s="58" t="s">
        <v>520</v>
      </c>
      <c r="B391" s="44"/>
      <c r="C391" s="147" t="s">
        <v>154</v>
      </c>
      <c r="D391" s="94" t="s">
        <v>259</v>
      </c>
      <c r="E391" s="258"/>
      <c r="F391" s="88">
        <f>0.255*15*1</f>
        <v>3.8250000000000002</v>
      </c>
      <c r="G391" s="97">
        <v>1</v>
      </c>
      <c r="H391" s="144"/>
      <c r="J391" s="34"/>
      <c r="AQ391" s="123"/>
    </row>
    <row r="392" spans="1:43" s="122" customFormat="1" ht="13.8">
      <c r="A392" s="58" t="s">
        <v>521</v>
      </c>
      <c r="B392" s="44"/>
      <c r="C392" s="147" t="s">
        <v>154</v>
      </c>
      <c r="D392" s="129" t="s">
        <v>1036</v>
      </c>
      <c r="E392" s="258"/>
      <c r="F392" s="88">
        <f>0.44*18*1</f>
        <v>7.92</v>
      </c>
      <c r="G392" s="97">
        <v>1</v>
      </c>
      <c r="H392" s="144"/>
      <c r="J392" s="34"/>
      <c r="AQ392" s="123"/>
    </row>
    <row r="393" spans="1:43" s="122" customFormat="1" ht="13.8">
      <c r="A393" s="58" t="s">
        <v>522</v>
      </c>
      <c r="B393" s="44"/>
      <c r="C393" s="147" t="s">
        <v>163</v>
      </c>
      <c r="D393" s="94" t="s">
        <v>1035</v>
      </c>
      <c r="E393" s="258"/>
      <c r="F393" s="88">
        <f>0.205*5*1</f>
        <v>1.0249999999999999</v>
      </c>
      <c r="G393" s="97">
        <v>1</v>
      </c>
      <c r="H393" s="144"/>
      <c r="J393" s="34"/>
      <c r="AQ393" s="123"/>
    </row>
    <row r="394" spans="1:43" s="122" customFormat="1" ht="13.8">
      <c r="A394" s="58" t="s">
        <v>523</v>
      </c>
      <c r="B394" s="44"/>
      <c r="C394" s="147" t="s">
        <v>162</v>
      </c>
      <c r="D394" s="94" t="s">
        <v>1035</v>
      </c>
      <c r="E394" s="258"/>
      <c r="F394" s="88">
        <f>0.205*5*1</f>
        <v>1.0249999999999999</v>
      </c>
      <c r="G394" s="97">
        <v>1</v>
      </c>
      <c r="H394" s="144"/>
      <c r="J394" s="34"/>
      <c r="AQ394" s="123"/>
    </row>
    <row r="395" spans="1:43" s="122" customFormat="1" ht="13.8">
      <c r="A395" s="58" t="s">
        <v>524</v>
      </c>
      <c r="B395" s="44"/>
      <c r="C395" s="147" t="s">
        <v>318</v>
      </c>
      <c r="D395" s="94" t="s">
        <v>1051</v>
      </c>
      <c r="E395" s="258"/>
      <c r="F395" s="88">
        <f>0.255*10*1</f>
        <v>2.5499999999999998</v>
      </c>
      <c r="G395" s="97">
        <v>1</v>
      </c>
      <c r="H395" s="144"/>
      <c r="J395" s="34"/>
      <c r="AQ395" s="123"/>
    </row>
    <row r="396" spans="1:43" s="122" customFormat="1" ht="13.8">
      <c r="A396" s="58" t="s">
        <v>525</v>
      </c>
      <c r="B396" s="44"/>
      <c r="C396" s="147" t="s">
        <v>230</v>
      </c>
      <c r="D396" s="94" t="s">
        <v>1039</v>
      </c>
      <c r="E396" s="258"/>
      <c r="F396" s="88"/>
      <c r="G396" s="97"/>
      <c r="H396" s="144"/>
      <c r="J396" s="34"/>
      <c r="AQ396" s="123"/>
    </row>
    <row r="397" spans="1:43" s="122" customFormat="1" ht="13.8">
      <c r="A397" s="58" t="s">
        <v>526</v>
      </c>
      <c r="B397" s="44"/>
      <c r="C397" s="147"/>
      <c r="D397" s="94"/>
      <c r="E397" s="258"/>
      <c r="F397" s="88"/>
      <c r="G397" s="97"/>
      <c r="H397" s="144"/>
      <c r="J397" s="34"/>
      <c r="AQ397" s="123"/>
    </row>
    <row r="398" spans="1:43" s="122" customFormat="1" ht="13.8">
      <c r="A398" s="58" t="s">
        <v>527</v>
      </c>
      <c r="B398" s="44"/>
      <c r="C398" s="148" t="s">
        <v>962</v>
      </c>
      <c r="D398" s="149" t="s">
        <v>1405</v>
      </c>
      <c r="E398" s="258"/>
      <c r="F398" s="88"/>
      <c r="G398" s="97"/>
      <c r="H398" s="144"/>
      <c r="J398" s="34"/>
      <c r="AQ398" s="123"/>
    </row>
    <row r="399" spans="1:43" s="122" customFormat="1" ht="13.8">
      <c r="A399" s="58" t="s">
        <v>529</v>
      </c>
      <c r="B399" s="44"/>
      <c r="C399" s="147" t="s">
        <v>228</v>
      </c>
      <c r="D399" s="129" t="s">
        <v>1048</v>
      </c>
      <c r="E399" s="258"/>
      <c r="F399" s="88">
        <f>0.44*18*3</f>
        <v>23.759999999999998</v>
      </c>
      <c r="G399" s="97">
        <v>3</v>
      </c>
      <c r="H399" s="144"/>
      <c r="J399" s="34"/>
      <c r="AQ399" s="123"/>
    </row>
    <row r="400" spans="1:43" s="122" customFormat="1" ht="13.8">
      <c r="A400" s="58" t="s">
        <v>531</v>
      </c>
      <c r="B400" s="44"/>
      <c r="C400" s="147" t="s">
        <v>410</v>
      </c>
      <c r="D400" s="129" t="s">
        <v>1038</v>
      </c>
      <c r="E400" s="258"/>
      <c r="F400" s="88">
        <f>0.44*19*1</f>
        <v>8.36</v>
      </c>
      <c r="G400" s="97">
        <v>1</v>
      </c>
      <c r="H400" s="144"/>
      <c r="J400" s="34"/>
      <c r="AQ400" s="123"/>
    </row>
    <row r="401" spans="1:43" s="122" customFormat="1" ht="13.8">
      <c r="A401" s="58" t="s">
        <v>533</v>
      </c>
      <c r="B401" s="44"/>
      <c r="C401" s="147" t="s">
        <v>228</v>
      </c>
      <c r="D401" s="129" t="s">
        <v>1036</v>
      </c>
      <c r="E401" s="258"/>
      <c r="F401" s="88">
        <f>0.44*18*1</f>
        <v>7.92</v>
      </c>
      <c r="G401" s="97">
        <v>1</v>
      </c>
      <c r="H401" s="144"/>
      <c r="J401" s="34"/>
      <c r="AQ401" s="123"/>
    </row>
    <row r="402" spans="1:43" s="122" customFormat="1" ht="13.8">
      <c r="A402" s="58" t="s">
        <v>534</v>
      </c>
      <c r="B402" s="44"/>
      <c r="C402" s="147" t="s">
        <v>226</v>
      </c>
      <c r="D402" s="129" t="s">
        <v>1036</v>
      </c>
      <c r="E402" s="258"/>
      <c r="F402" s="88">
        <f>0.44*18*1</f>
        <v>7.92</v>
      </c>
      <c r="G402" s="97">
        <v>1</v>
      </c>
      <c r="H402" s="144"/>
      <c r="J402" s="34"/>
      <c r="AQ402" s="123"/>
    </row>
    <row r="403" spans="1:43" s="122" customFormat="1" ht="13.8">
      <c r="A403" s="58" t="s">
        <v>535</v>
      </c>
      <c r="B403" s="44"/>
      <c r="C403" s="147" t="s">
        <v>1049</v>
      </c>
      <c r="D403" s="129" t="s">
        <v>1050</v>
      </c>
      <c r="E403" s="258"/>
      <c r="F403" s="88">
        <f>0.185*23*2</f>
        <v>8.51</v>
      </c>
      <c r="G403" s="97">
        <v>2</v>
      </c>
      <c r="H403" s="144"/>
      <c r="J403" s="34"/>
      <c r="AQ403" s="123"/>
    </row>
    <row r="404" spans="1:43" s="122" customFormat="1" ht="13.8">
      <c r="A404" s="58" t="s">
        <v>536</v>
      </c>
      <c r="B404" s="44"/>
      <c r="C404" s="147"/>
      <c r="D404" s="129"/>
      <c r="E404" s="258"/>
      <c r="F404" s="88"/>
      <c r="G404" s="97"/>
      <c r="H404" s="144"/>
      <c r="J404" s="34"/>
      <c r="AQ404" s="123"/>
    </row>
    <row r="405" spans="1:43" s="122" customFormat="1" ht="13.8">
      <c r="A405" s="58" t="s">
        <v>537</v>
      </c>
      <c r="B405" s="44"/>
      <c r="C405" s="148" t="s">
        <v>962</v>
      </c>
      <c r="D405" s="150" t="s">
        <v>1406</v>
      </c>
      <c r="E405" s="258"/>
      <c r="F405" s="88"/>
      <c r="G405" s="97"/>
      <c r="H405" s="144"/>
      <c r="J405" s="34"/>
      <c r="AQ405" s="123"/>
    </row>
    <row r="406" spans="1:43" s="122" customFormat="1" ht="13.8">
      <c r="A406" s="58" t="s">
        <v>538</v>
      </c>
      <c r="B406" s="44"/>
      <c r="C406" s="147" t="s">
        <v>234</v>
      </c>
      <c r="D406" s="94" t="s">
        <v>963</v>
      </c>
      <c r="E406" s="258"/>
      <c r="F406" s="88">
        <f>0.255*22*1</f>
        <v>5.61</v>
      </c>
      <c r="G406" s="97">
        <v>1</v>
      </c>
      <c r="H406" s="144"/>
      <c r="J406" s="34"/>
      <c r="AQ406" s="123"/>
    </row>
    <row r="407" spans="1:43" s="122" customFormat="1" ht="13.8">
      <c r="A407" s="58" t="s">
        <v>539</v>
      </c>
      <c r="B407" s="44"/>
      <c r="C407" s="147" t="s">
        <v>157</v>
      </c>
      <c r="D407" s="129" t="s">
        <v>1040</v>
      </c>
      <c r="E407" s="258"/>
      <c r="F407" s="88">
        <f>0.44*25*1</f>
        <v>11</v>
      </c>
      <c r="G407" s="97">
        <v>1</v>
      </c>
      <c r="H407" s="144"/>
      <c r="J407" s="34"/>
      <c r="AQ407" s="123"/>
    </row>
    <row r="408" spans="1:43" s="122" customFormat="1" ht="13.8">
      <c r="A408" s="58" t="s">
        <v>540</v>
      </c>
      <c r="B408" s="44"/>
      <c r="C408" s="147"/>
      <c r="D408" s="129"/>
      <c r="E408" s="258"/>
      <c r="F408" s="88"/>
      <c r="G408" s="97"/>
      <c r="H408" s="144"/>
      <c r="J408" s="34"/>
      <c r="AQ408" s="123"/>
    </row>
    <row r="409" spans="1:43" s="122" customFormat="1" ht="13.8">
      <c r="A409" s="58" t="s">
        <v>541</v>
      </c>
      <c r="B409" s="44"/>
      <c r="C409" s="148" t="s">
        <v>962</v>
      </c>
      <c r="D409" s="150" t="s">
        <v>1407</v>
      </c>
      <c r="E409" s="258"/>
      <c r="F409" s="88"/>
      <c r="G409" s="97"/>
      <c r="H409" s="144"/>
      <c r="J409" s="34"/>
      <c r="AQ409" s="123"/>
    </row>
    <row r="410" spans="1:43" s="122" customFormat="1" ht="13.8">
      <c r="A410" s="58" t="s">
        <v>542</v>
      </c>
      <c r="B410" s="44"/>
      <c r="C410" s="147" t="s">
        <v>1052</v>
      </c>
      <c r="D410" s="94" t="s">
        <v>1053</v>
      </c>
      <c r="E410" s="258"/>
      <c r="F410" s="88">
        <f>0.255*11*1</f>
        <v>2.8050000000000002</v>
      </c>
      <c r="G410" s="97">
        <v>1</v>
      </c>
      <c r="H410" s="144"/>
      <c r="J410" s="34"/>
      <c r="AQ410" s="123"/>
    </row>
    <row r="411" spans="1:43" s="122" customFormat="1" ht="13.8">
      <c r="A411" s="58" t="s">
        <v>544</v>
      </c>
      <c r="B411" s="44"/>
      <c r="C411" s="147" t="s">
        <v>1052</v>
      </c>
      <c r="D411" s="129" t="s">
        <v>243</v>
      </c>
      <c r="E411" s="258"/>
      <c r="F411" s="88">
        <f>0.44*10*1</f>
        <v>4.4000000000000004</v>
      </c>
      <c r="G411" s="97">
        <v>1</v>
      </c>
      <c r="H411" s="144"/>
      <c r="J411" s="34"/>
      <c r="AQ411" s="123"/>
    </row>
    <row r="412" spans="1:43" s="122" customFormat="1" ht="13.8">
      <c r="A412" s="58" t="s">
        <v>546</v>
      </c>
      <c r="B412" s="44"/>
      <c r="C412" s="147"/>
      <c r="D412" s="129"/>
      <c r="E412" s="258"/>
      <c r="F412" s="88"/>
      <c r="G412" s="97"/>
      <c r="H412" s="144"/>
      <c r="J412" s="34"/>
      <c r="AQ412" s="123"/>
    </row>
    <row r="413" spans="1:43" s="122" customFormat="1" ht="13.8">
      <c r="A413" s="58" t="s">
        <v>547</v>
      </c>
      <c r="B413" s="44"/>
      <c r="C413" s="148" t="s">
        <v>962</v>
      </c>
      <c r="D413" s="150" t="s">
        <v>1408</v>
      </c>
      <c r="E413" s="258"/>
      <c r="F413" s="88"/>
      <c r="G413" s="97"/>
      <c r="H413" s="144"/>
      <c r="J413" s="34"/>
      <c r="AQ413" s="123"/>
    </row>
    <row r="414" spans="1:43" s="122" customFormat="1" ht="13.8">
      <c r="A414" s="58" t="s">
        <v>549</v>
      </c>
      <c r="B414" s="44"/>
      <c r="C414" s="147" t="s">
        <v>447</v>
      </c>
      <c r="D414" s="129" t="s">
        <v>1044</v>
      </c>
      <c r="E414" s="258"/>
      <c r="F414" s="88">
        <f>0.44*20*2</f>
        <v>17.600000000000001</v>
      </c>
      <c r="G414" s="97">
        <v>2</v>
      </c>
      <c r="H414" s="144"/>
      <c r="J414" s="34"/>
      <c r="AQ414" s="123"/>
    </row>
    <row r="415" spans="1:43" s="122" customFormat="1" ht="13.8">
      <c r="A415" s="58" t="s">
        <v>551</v>
      </c>
      <c r="B415" s="44"/>
      <c r="C415" s="147" t="s">
        <v>513</v>
      </c>
      <c r="D415" s="94" t="s">
        <v>259</v>
      </c>
      <c r="E415" s="258"/>
      <c r="F415" s="88">
        <f>0.255*15*1</f>
        <v>3.8250000000000002</v>
      </c>
      <c r="G415" s="97">
        <v>1</v>
      </c>
      <c r="H415" s="144"/>
      <c r="J415" s="34"/>
      <c r="AQ415" s="123"/>
    </row>
    <row r="416" spans="1:43" s="122" customFormat="1" ht="13.8">
      <c r="A416" s="58" t="s">
        <v>553</v>
      </c>
      <c r="B416" s="44"/>
      <c r="C416" s="147" t="s">
        <v>447</v>
      </c>
      <c r="D416" s="94" t="s">
        <v>1019</v>
      </c>
      <c r="E416" s="258"/>
      <c r="F416" s="88">
        <f>0.255*25*1</f>
        <v>6.375</v>
      </c>
      <c r="G416" s="97">
        <v>1</v>
      </c>
      <c r="H416" s="144"/>
      <c r="J416" s="34"/>
      <c r="AQ416" s="123"/>
    </row>
    <row r="417" spans="1:43" s="122" customFormat="1" ht="13.8">
      <c r="A417" s="58" t="s">
        <v>555</v>
      </c>
      <c r="B417" s="44"/>
      <c r="C417" s="147"/>
      <c r="D417" s="94"/>
      <c r="E417" s="258"/>
      <c r="F417" s="88"/>
      <c r="G417" s="97"/>
      <c r="H417" s="144"/>
      <c r="J417" s="34"/>
      <c r="AQ417" s="123"/>
    </row>
    <row r="418" spans="1:43" s="122" customFormat="1" ht="13.8">
      <c r="A418" s="58" t="s">
        <v>557</v>
      </c>
      <c r="B418" s="44"/>
      <c r="C418" s="145"/>
      <c r="D418" s="140" t="s">
        <v>1054</v>
      </c>
      <c r="E418" s="258"/>
      <c r="F418" s="88"/>
      <c r="G418" s="97"/>
      <c r="H418" s="144"/>
      <c r="J418" s="34"/>
      <c r="AQ418" s="123"/>
    </row>
    <row r="419" spans="1:43" s="122" customFormat="1" ht="13.8">
      <c r="A419" s="58" t="s">
        <v>559</v>
      </c>
      <c r="B419" s="44"/>
      <c r="C419" s="145"/>
      <c r="D419" s="107" t="s">
        <v>1409</v>
      </c>
      <c r="E419" s="257" t="s">
        <v>41</v>
      </c>
      <c r="F419" s="49">
        <f>SUM(F421:F462)</f>
        <v>223.32500000000005</v>
      </c>
      <c r="G419" s="97"/>
      <c r="H419" s="144"/>
      <c r="J419" s="34"/>
      <c r="AQ419" s="123"/>
    </row>
    <row r="420" spans="1:43" s="122" customFormat="1" ht="13.8">
      <c r="A420" s="58" t="s">
        <v>561</v>
      </c>
      <c r="B420" s="44"/>
      <c r="C420" s="141" t="s">
        <v>962</v>
      </c>
      <c r="D420" s="143" t="s">
        <v>1410</v>
      </c>
      <c r="E420" s="258"/>
      <c r="F420" s="88"/>
      <c r="G420" s="97"/>
      <c r="H420" s="144"/>
      <c r="J420" s="34"/>
      <c r="AQ420" s="123"/>
    </row>
    <row r="421" spans="1:43" s="122" customFormat="1" ht="13.8">
      <c r="A421" s="58" t="s">
        <v>563</v>
      </c>
      <c r="B421" s="44"/>
      <c r="C421" s="151" t="s">
        <v>216</v>
      </c>
      <c r="D421" s="94" t="s">
        <v>250</v>
      </c>
      <c r="E421" s="258"/>
      <c r="F421" s="88">
        <f>0.255*14*1</f>
        <v>3.5700000000000003</v>
      </c>
      <c r="G421" s="97">
        <v>1</v>
      </c>
      <c r="H421" s="144"/>
      <c r="J421" s="34"/>
      <c r="AQ421" s="123"/>
    </row>
    <row r="422" spans="1:43" s="122" customFormat="1" ht="13.8">
      <c r="A422" s="58" t="s">
        <v>564</v>
      </c>
      <c r="B422" s="44"/>
      <c r="C422" s="151" t="s">
        <v>218</v>
      </c>
      <c r="D422" s="129" t="s">
        <v>243</v>
      </c>
      <c r="E422" s="258"/>
      <c r="F422" s="88">
        <f>0.44*10*1</f>
        <v>4.4000000000000004</v>
      </c>
      <c r="G422" s="97">
        <v>1</v>
      </c>
      <c r="H422" s="144"/>
      <c r="J422" s="34"/>
      <c r="AQ422" s="123"/>
    </row>
    <row r="423" spans="1:43" s="122" customFormat="1" ht="13.8">
      <c r="A423" s="58" t="s">
        <v>566</v>
      </c>
      <c r="B423" s="44"/>
      <c r="C423" s="151" t="s">
        <v>220</v>
      </c>
      <c r="D423" s="129" t="s">
        <v>1055</v>
      </c>
      <c r="E423" s="258"/>
      <c r="F423" s="88">
        <f>0.44*9*1</f>
        <v>3.96</v>
      </c>
      <c r="G423" s="97">
        <v>1</v>
      </c>
      <c r="H423" s="144"/>
      <c r="J423" s="34"/>
      <c r="AQ423" s="123"/>
    </row>
    <row r="424" spans="1:43" s="122" customFormat="1" ht="13.8">
      <c r="A424" s="58" t="s">
        <v>568</v>
      </c>
      <c r="B424" s="44"/>
      <c r="C424" s="147"/>
      <c r="D424" s="94"/>
      <c r="E424" s="258"/>
      <c r="F424" s="88"/>
      <c r="G424" s="97"/>
      <c r="H424" s="144"/>
      <c r="J424" s="34"/>
      <c r="AQ424" s="123"/>
    </row>
    <row r="425" spans="1:43" s="122" customFormat="1" ht="13.8">
      <c r="A425" s="58" t="s">
        <v>569</v>
      </c>
      <c r="B425" s="44"/>
      <c r="C425" s="141" t="s">
        <v>962</v>
      </c>
      <c r="D425" s="143" t="s">
        <v>1411</v>
      </c>
      <c r="E425" s="258"/>
      <c r="F425" s="88"/>
      <c r="G425" s="97"/>
      <c r="H425" s="144"/>
      <c r="J425" s="34"/>
      <c r="AQ425" s="123"/>
    </row>
    <row r="426" spans="1:43" s="122" customFormat="1" ht="13.8">
      <c r="A426" s="58" t="s">
        <v>570</v>
      </c>
      <c r="B426" s="44"/>
      <c r="C426" s="151" t="s">
        <v>285</v>
      </c>
      <c r="D426" s="94" t="s">
        <v>273</v>
      </c>
      <c r="E426" s="258"/>
      <c r="F426" s="88">
        <f>0.255*18*2</f>
        <v>9.18</v>
      </c>
      <c r="G426" s="97">
        <v>2</v>
      </c>
      <c r="H426" s="144"/>
      <c r="J426" s="34"/>
      <c r="AQ426" s="123"/>
    </row>
    <row r="427" spans="1:43" s="122" customFormat="1" ht="13.8">
      <c r="A427" s="58" t="s">
        <v>571</v>
      </c>
      <c r="B427" s="44"/>
      <c r="C427" s="151" t="s">
        <v>287</v>
      </c>
      <c r="D427" s="94" t="s">
        <v>1016</v>
      </c>
      <c r="E427" s="258"/>
      <c r="F427" s="88">
        <f>0.255*19*2</f>
        <v>9.69</v>
      </c>
      <c r="G427" s="97">
        <v>2</v>
      </c>
      <c r="H427" s="144"/>
      <c r="J427" s="34"/>
      <c r="AQ427" s="123"/>
    </row>
    <row r="428" spans="1:43" s="122" customFormat="1" ht="13.8">
      <c r="A428" s="58" t="s">
        <v>572</v>
      </c>
      <c r="B428" s="44"/>
      <c r="C428" s="151" t="s">
        <v>280</v>
      </c>
      <c r="D428" s="94" t="s">
        <v>250</v>
      </c>
      <c r="E428" s="258"/>
      <c r="F428" s="88">
        <f>0.255*14*1</f>
        <v>3.5700000000000003</v>
      </c>
      <c r="G428" s="97">
        <v>1</v>
      </c>
      <c r="H428" s="144"/>
      <c r="J428" s="34"/>
      <c r="AQ428" s="123"/>
    </row>
    <row r="429" spans="1:43" s="122" customFormat="1" ht="13.8">
      <c r="A429" s="58" t="s">
        <v>574</v>
      </c>
      <c r="B429" s="44"/>
      <c r="C429" s="151" t="s">
        <v>278</v>
      </c>
      <c r="D429" s="94" t="s">
        <v>974</v>
      </c>
      <c r="E429" s="258"/>
      <c r="F429" s="88">
        <f>0.255*17*1</f>
        <v>4.335</v>
      </c>
      <c r="G429" s="97">
        <v>1</v>
      </c>
      <c r="H429" s="144"/>
      <c r="J429" s="34"/>
      <c r="AQ429" s="123"/>
    </row>
    <row r="430" spans="1:43" s="122" customFormat="1" ht="13.8">
      <c r="A430" s="58" t="s">
        <v>575</v>
      </c>
      <c r="B430" s="44"/>
      <c r="C430" s="151" t="s">
        <v>275</v>
      </c>
      <c r="D430" s="94" t="s">
        <v>259</v>
      </c>
      <c r="E430" s="258"/>
      <c r="F430" s="88">
        <f>0.255*15*1</f>
        <v>3.8250000000000002</v>
      </c>
      <c r="G430" s="97">
        <v>1</v>
      </c>
      <c r="H430" s="144"/>
      <c r="J430" s="34"/>
      <c r="AQ430" s="123"/>
    </row>
    <row r="431" spans="1:43" s="122" customFormat="1" ht="13.8">
      <c r="A431" s="58" t="s">
        <v>576</v>
      </c>
      <c r="B431" s="44"/>
      <c r="C431" s="151" t="s">
        <v>272</v>
      </c>
      <c r="D431" s="94" t="s">
        <v>273</v>
      </c>
      <c r="E431" s="258"/>
      <c r="F431" s="88">
        <f>0.255*18*2</f>
        <v>9.18</v>
      </c>
      <c r="G431" s="97">
        <v>2</v>
      </c>
      <c r="H431" s="144"/>
      <c r="J431" s="34"/>
      <c r="AQ431" s="123"/>
    </row>
    <row r="432" spans="1:43" s="122" customFormat="1" ht="13.8">
      <c r="A432" s="58" t="s">
        <v>577</v>
      </c>
      <c r="B432" s="44"/>
      <c r="C432" s="147"/>
      <c r="D432" s="94"/>
      <c r="E432" s="258"/>
      <c r="F432" s="88"/>
      <c r="G432" s="97"/>
      <c r="H432" s="144"/>
      <c r="J432" s="34"/>
      <c r="AQ432" s="123"/>
    </row>
    <row r="433" spans="1:43" s="122" customFormat="1" ht="13.8">
      <c r="A433" s="58" t="s">
        <v>578</v>
      </c>
      <c r="B433" s="44"/>
      <c r="C433" s="141" t="s">
        <v>962</v>
      </c>
      <c r="D433" s="143" t="s">
        <v>1412</v>
      </c>
      <c r="E433" s="258"/>
      <c r="F433" s="88"/>
      <c r="G433" s="97"/>
      <c r="H433" s="144"/>
      <c r="J433" s="34"/>
      <c r="AQ433" s="123"/>
    </row>
    <row r="434" spans="1:43" s="122" customFormat="1" ht="13.8">
      <c r="A434" s="58" t="s">
        <v>579</v>
      </c>
      <c r="B434" s="44"/>
      <c r="C434" s="151" t="s">
        <v>1056</v>
      </c>
      <c r="D434" s="94" t="s">
        <v>989</v>
      </c>
      <c r="E434" s="258"/>
      <c r="F434" s="88">
        <f>0.255*20*1</f>
        <v>5.0999999999999996</v>
      </c>
      <c r="G434" s="97">
        <v>1</v>
      </c>
      <c r="H434" s="144"/>
      <c r="J434" s="34"/>
      <c r="AQ434" s="123"/>
    </row>
    <row r="435" spans="1:43" s="122" customFormat="1" ht="13.8">
      <c r="A435" s="58" t="s">
        <v>580</v>
      </c>
      <c r="B435" s="44"/>
      <c r="C435" s="151" t="s">
        <v>1057</v>
      </c>
      <c r="D435" s="94" t="s">
        <v>259</v>
      </c>
      <c r="E435" s="258"/>
      <c r="F435" s="88">
        <f>0.255*15*1</f>
        <v>3.8250000000000002</v>
      </c>
      <c r="G435" s="97">
        <v>1</v>
      </c>
      <c r="H435" s="144"/>
      <c r="J435" s="34"/>
      <c r="AQ435" s="123"/>
    </row>
    <row r="436" spans="1:43" s="122" customFormat="1" ht="13.8">
      <c r="A436" s="58" t="s">
        <v>581</v>
      </c>
      <c r="B436" s="44"/>
      <c r="C436" s="151" t="s">
        <v>370</v>
      </c>
      <c r="D436" s="94" t="s">
        <v>1059</v>
      </c>
      <c r="E436" s="258"/>
      <c r="F436" s="88">
        <f>0.255*25*5</f>
        <v>31.875</v>
      </c>
      <c r="G436" s="97">
        <v>5</v>
      </c>
      <c r="H436" s="144"/>
      <c r="J436" s="34"/>
      <c r="AQ436" s="123"/>
    </row>
    <row r="437" spans="1:43" s="122" customFormat="1" ht="13.8">
      <c r="A437" s="58" t="s">
        <v>582</v>
      </c>
      <c r="B437" s="44"/>
      <c r="C437" s="151" t="s">
        <v>1060</v>
      </c>
      <c r="D437" s="94" t="s">
        <v>259</v>
      </c>
      <c r="E437" s="258"/>
      <c r="F437" s="88">
        <f>0.255*15*1</f>
        <v>3.8250000000000002</v>
      </c>
      <c r="G437" s="97">
        <v>1</v>
      </c>
      <c r="H437" s="144"/>
      <c r="J437" s="34"/>
      <c r="AQ437" s="123"/>
    </row>
    <row r="438" spans="1:43" s="122" customFormat="1" ht="13.8">
      <c r="A438" s="58" t="s">
        <v>583</v>
      </c>
      <c r="B438" s="44"/>
      <c r="C438" s="151" t="s">
        <v>1060</v>
      </c>
      <c r="D438" s="94" t="s">
        <v>262</v>
      </c>
      <c r="E438" s="258"/>
      <c r="F438" s="88">
        <f>0.255*16*1</f>
        <v>4.08</v>
      </c>
      <c r="G438" s="97">
        <v>1</v>
      </c>
      <c r="H438" s="144"/>
      <c r="J438" s="34"/>
      <c r="AQ438" s="123"/>
    </row>
    <row r="439" spans="1:43" s="122" customFormat="1" ht="13.8">
      <c r="A439" s="58" t="s">
        <v>584</v>
      </c>
      <c r="B439" s="44"/>
      <c r="C439" s="147"/>
      <c r="D439" s="94"/>
      <c r="E439" s="258"/>
      <c r="F439" s="88"/>
      <c r="G439" s="97"/>
      <c r="H439" s="144"/>
      <c r="J439" s="34"/>
      <c r="AQ439" s="123"/>
    </row>
    <row r="440" spans="1:43" s="122" customFormat="1" ht="13.8">
      <c r="A440" s="58" t="s">
        <v>585</v>
      </c>
      <c r="B440" s="44"/>
      <c r="C440" s="141" t="s">
        <v>962</v>
      </c>
      <c r="D440" s="143" t="s">
        <v>1413</v>
      </c>
      <c r="E440" s="258"/>
      <c r="F440" s="88"/>
      <c r="G440" s="97"/>
      <c r="H440" s="144"/>
      <c r="J440" s="34"/>
      <c r="AQ440" s="123"/>
    </row>
    <row r="441" spans="1:43" s="122" customFormat="1" ht="13.8">
      <c r="A441" s="58" t="s">
        <v>586</v>
      </c>
      <c r="B441" s="44"/>
      <c r="C441" s="151" t="s">
        <v>450</v>
      </c>
      <c r="D441" s="94" t="s">
        <v>989</v>
      </c>
      <c r="E441" s="258"/>
      <c r="F441" s="88">
        <f>0.255*20*1</f>
        <v>5.0999999999999996</v>
      </c>
      <c r="G441" s="97">
        <v>1</v>
      </c>
      <c r="H441" s="144"/>
      <c r="J441" s="34"/>
      <c r="AQ441" s="123"/>
    </row>
    <row r="442" spans="1:43" s="122" customFormat="1" ht="13.8">
      <c r="A442" s="58" t="s">
        <v>587</v>
      </c>
      <c r="B442" s="44"/>
      <c r="C442" s="151" t="s">
        <v>182</v>
      </c>
      <c r="D442" s="94" t="s">
        <v>259</v>
      </c>
      <c r="E442" s="258"/>
      <c r="F442" s="88">
        <f>0.255*15*1</f>
        <v>3.8250000000000002</v>
      </c>
      <c r="G442" s="97">
        <v>1</v>
      </c>
      <c r="H442" s="144"/>
      <c r="J442" s="34"/>
      <c r="AQ442" s="123"/>
    </row>
    <row r="443" spans="1:43" s="122" customFormat="1" ht="13.8">
      <c r="A443" s="58" t="s">
        <v>588</v>
      </c>
      <c r="B443" s="44"/>
      <c r="C443" s="151" t="s">
        <v>184</v>
      </c>
      <c r="D443" s="94" t="s">
        <v>1059</v>
      </c>
      <c r="E443" s="258"/>
      <c r="F443" s="88">
        <f>0.255*25*5</f>
        <v>31.875</v>
      </c>
      <c r="G443" s="97">
        <v>5</v>
      </c>
      <c r="H443" s="144"/>
      <c r="J443" s="34"/>
      <c r="AQ443" s="123"/>
    </row>
    <row r="444" spans="1:43" s="122" customFormat="1" ht="13.8">
      <c r="A444" s="58" t="s">
        <v>589</v>
      </c>
      <c r="B444" s="44"/>
      <c r="C444" s="151" t="s">
        <v>1061</v>
      </c>
      <c r="D444" s="94" t="s">
        <v>294</v>
      </c>
      <c r="E444" s="258"/>
      <c r="F444" s="88">
        <f>0.255*18*1</f>
        <v>4.59</v>
      </c>
      <c r="G444" s="97">
        <v>1</v>
      </c>
      <c r="H444" s="144"/>
      <c r="J444" s="34"/>
      <c r="AQ444" s="123"/>
    </row>
    <row r="445" spans="1:43" s="122" customFormat="1" ht="13.8">
      <c r="A445" s="58" t="s">
        <v>590</v>
      </c>
      <c r="B445" s="44"/>
      <c r="C445" s="151" t="s">
        <v>182</v>
      </c>
      <c r="D445" s="94" t="s">
        <v>333</v>
      </c>
      <c r="E445" s="258"/>
      <c r="F445" s="88">
        <f>0.255*16*1</f>
        <v>4.08</v>
      </c>
      <c r="G445" s="97">
        <v>1</v>
      </c>
      <c r="H445" s="144"/>
      <c r="J445" s="34"/>
      <c r="AQ445" s="123"/>
    </row>
    <row r="446" spans="1:43" s="122" customFormat="1" ht="13.8">
      <c r="A446" s="58" t="s">
        <v>591</v>
      </c>
      <c r="B446" s="44"/>
      <c r="C446" s="147"/>
      <c r="D446" s="94"/>
      <c r="E446" s="258"/>
      <c r="F446" s="88"/>
      <c r="G446" s="97"/>
      <c r="H446" s="144"/>
      <c r="J446" s="34"/>
      <c r="AQ446" s="123"/>
    </row>
    <row r="447" spans="1:43" s="122" customFormat="1" ht="13.8">
      <c r="A447" s="58" t="s">
        <v>592</v>
      </c>
      <c r="B447" s="44"/>
      <c r="C447" s="141" t="s">
        <v>962</v>
      </c>
      <c r="D447" s="143" t="s">
        <v>1414</v>
      </c>
      <c r="E447" s="258"/>
      <c r="F447" s="88"/>
      <c r="G447" s="97"/>
      <c r="H447" s="144"/>
      <c r="J447" s="34"/>
      <c r="AQ447" s="123"/>
    </row>
    <row r="448" spans="1:43" s="122" customFormat="1" ht="13.8">
      <c r="A448" s="58" t="s">
        <v>593</v>
      </c>
      <c r="B448" s="44"/>
      <c r="C448" s="151" t="s">
        <v>351</v>
      </c>
      <c r="D448" s="94" t="s">
        <v>333</v>
      </c>
      <c r="E448" s="258"/>
      <c r="F448" s="88">
        <f>0.255*16*1</f>
        <v>4.08</v>
      </c>
      <c r="G448" s="97">
        <v>1</v>
      </c>
      <c r="H448" s="144"/>
      <c r="J448" s="34"/>
      <c r="AQ448" s="123"/>
    </row>
    <row r="449" spans="1:43" s="122" customFormat="1" ht="13.8">
      <c r="A449" s="58" t="s">
        <v>594</v>
      </c>
      <c r="B449" s="44"/>
      <c r="C449" s="151" t="s">
        <v>352</v>
      </c>
      <c r="D449" s="94" t="s">
        <v>333</v>
      </c>
      <c r="E449" s="258"/>
      <c r="F449" s="88">
        <f>0.255*16*1</f>
        <v>4.08</v>
      </c>
      <c r="G449" s="97">
        <v>1</v>
      </c>
      <c r="H449" s="144"/>
      <c r="J449" s="34"/>
      <c r="AQ449" s="123"/>
    </row>
    <row r="450" spans="1:43" s="122" customFormat="1" ht="13.8">
      <c r="A450" s="58" t="s">
        <v>595</v>
      </c>
      <c r="B450" s="44"/>
      <c r="C450" s="151" t="s">
        <v>347</v>
      </c>
      <c r="D450" s="94" t="s">
        <v>333</v>
      </c>
      <c r="E450" s="258"/>
      <c r="F450" s="88">
        <f>0.255*16*1</f>
        <v>4.08</v>
      </c>
      <c r="G450" s="97">
        <v>1</v>
      </c>
      <c r="H450" s="144"/>
      <c r="J450" s="34"/>
      <c r="AQ450" s="123"/>
    </row>
    <row r="451" spans="1:43" s="122" customFormat="1" ht="13.8">
      <c r="A451" s="58" t="s">
        <v>596</v>
      </c>
      <c r="B451" s="44"/>
      <c r="C451" s="151" t="s">
        <v>346</v>
      </c>
      <c r="D451" s="94" t="s">
        <v>276</v>
      </c>
      <c r="E451" s="258"/>
      <c r="F451" s="88">
        <f>0.255*15*1</f>
        <v>3.8250000000000002</v>
      </c>
      <c r="G451" s="97">
        <v>1</v>
      </c>
      <c r="H451" s="144"/>
      <c r="J451" s="34"/>
      <c r="AQ451" s="123"/>
    </row>
    <row r="452" spans="1:43" s="122" customFormat="1" ht="13.8">
      <c r="A452" s="58" t="s">
        <v>597</v>
      </c>
      <c r="B452" s="44"/>
      <c r="C452" s="147"/>
      <c r="D452" s="94"/>
      <c r="E452" s="258"/>
      <c r="F452" s="88"/>
      <c r="G452" s="97"/>
      <c r="H452" s="144"/>
      <c r="J452" s="34"/>
      <c r="AQ452" s="123"/>
    </row>
    <row r="453" spans="1:43" s="122" customFormat="1" ht="13.8">
      <c r="A453" s="58" t="s">
        <v>598</v>
      </c>
      <c r="B453" s="44"/>
      <c r="C453" s="141" t="s">
        <v>962</v>
      </c>
      <c r="D453" s="143" t="s">
        <v>1415</v>
      </c>
      <c r="E453" s="258"/>
      <c r="F453" s="88"/>
      <c r="G453" s="97"/>
      <c r="H453" s="144"/>
      <c r="J453" s="34"/>
      <c r="AQ453" s="123"/>
    </row>
    <row r="454" spans="1:43" s="122" customFormat="1" ht="13.8">
      <c r="A454" s="58" t="s">
        <v>600</v>
      </c>
      <c r="B454" s="44"/>
      <c r="C454" s="151" t="s">
        <v>1062</v>
      </c>
      <c r="D454" s="94" t="s">
        <v>1019</v>
      </c>
      <c r="E454" s="258"/>
      <c r="F454" s="88">
        <f>0.255*25*1</f>
        <v>6.375</v>
      </c>
      <c r="G454" s="97">
        <v>1</v>
      </c>
      <c r="H454" s="144"/>
      <c r="J454" s="34"/>
      <c r="AQ454" s="123"/>
    </row>
    <row r="455" spans="1:43" s="122" customFormat="1" ht="13.8">
      <c r="A455" s="58" t="s">
        <v>602</v>
      </c>
      <c r="B455" s="44"/>
      <c r="C455" s="151" t="s">
        <v>502</v>
      </c>
      <c r="D455" s="94" t="s">
        <v>1019</v>
      </c>
      <c r="E455" s="258"/>
      <c r="F455" s="88">
        <f>0.255*25*1</f>
        <v>6.375</v>
      </c>
      <c r="G455" s="97">
        <v>1</v>
      </c>
      <c r="H455" s="144"/>
      <c r="J455" s="34"/>
      <c r="AQ455" s="123"/>
    </row>
    <row r="456" spans="1:43" s="122" customFormat="1" ht="13.8">
      <c r="A456" s="58" t="s">
        <v>604</v>
      </c>
      <c r="B456" s="44"/>
      <c r="C456" s="151" t="s">
        <v>488</v>
      </c>
      <c r="D456" s="94" t="s">
        <v>1019</v>
      </c>
      <c r="E456" s="258"/>
      <c r="F456" s="88">
        <f t="shared" ref="F456:F462" si="9">0.255*25*1</f>
        <v>6.375</v>
      </c>
      <c r="G456" s="97">
        <v>1</v>
      </c>
      <c r="H456" s="144"/>
      <c r="J456" s="34"/>
      <c r="AQ456" s="123"/>
    </row>
    <row r="457" spans="1:43" s="122" customFormat="1" ht="13.8">
      <c r="A457" s="58" t="s">
        <v>606</v>
      </c>
      <c r="B457" s="44"/>
      <c r="C457" s="151" t="s">
        <v>486</v>
      </c>
      <c r="D457" s="94" t="s">
        <v>1019</v>
      </c>
      <c r="E457" s="258"/>
      <c r="F457" s="88">
        <f t="shared" si="9"/>
        <v>6.375</v>
      </c>
      <c r="G457" s="97">
        <v>1</v>
      </c>
      <c r="H457" s="144"/>
      <c r="J457" s="34"/>
      <c r="AQ457" s="123"/>
    </row>
    <row r="458" spans="1:43" s="122" customFormat="1" ht="13.8">
      <c r="A458" s="58" t="s">
        <v>607</v>
      </c>
      <c r="B458" s="44"/>
      <c r="C458" s="151" t="s">
        <v>484</v>
      </c>
      <c r="D458" s="94" t="s">
        <v>1019</v>
      </c>
      <c r="E458" s="258"/>
      <c r="F458" s="88">
        <f t="shared" si="9"/>
        <v>6.375</v>
      </c>
      <c r="G458" s="97">
        <v>1</v>
      </c>
      <c r="H458" s="144"/>
      <c r="J458" s="34"/>
      <c r="AQ458" s="123"/>
    </row>
    <row r="459" spans="1:43" s="122" customFormat="1" ht="13.8">
      <c r="A459" s="58" t="s">
        <v>609</v>
      </c>
      <c r="B459" s="44"/>
      <c r="C459" s="151" t="s">
        <v>482</v>
      </c>
      <c r="D459" s="94" t="s">
        <v>1019</v>
      </c>
      <c r="E459" s="258"/>
      <c r="F459" s="88">
        <f t="shared" si="9"/>
        <v>6.375</v>
      </c>
      <c r="G459" s="97">
        <v>1</v>
      </c>
      <c r="H459" s="144"/>
      <c r="J459" s="34"/>
      <c r="AQ459" s="123"/>
    </row>
    <row r="460" spans="1:43" s="122" customFormat="1" ht="13.8">
      <c r="A460" s="58" t="s">
        <v>611</v>
      </c>
      <c r="B460" s="44"/>
      <c r="C460" s="151" t="s">
        <v>480</v>
      </c>
      <c r="D460" s="94" t="s">
        <v>1019</v>
      </c>
      <c r="E460" s="258"/>
      <c r="F460" s="88">
        <f t="shared" si="9"/>
        <v>6.375</v>
      </c>
      <c r="G460" s="97">
        <v>1</v>
      </c>
      <c r="H460" s="144"/>
      <c r="J460" s="34"/>
      <c r="AQ460" s="123"/>
    </row>
    <row r="461" spans="1:43" s="122" customFormat="1" ht="13.8">
      <c r="A461" s="58" t="s">
        <v>613</v>
      </c>
      <c r="B461" s="44"/>
      <c r="C461" s="151" t="s">
        <v>478</v>
      </c>
      <c r="D461" s="94" t="s">
        <v>1019</v>
      </c>
      <c r="E461" s="258"/>
      <c r="F461" s="88">
        <f t="shared" si="9"/>
        <v>6.375</v>
      </c>
      <c r="G461" s="97">
        <v>1</v>
      </c>
      <c r="H461" s="144"/>
      <c r="J461" s="34"/>
      <c r="AQ461" s="123"/>
    </row>
    <row r="462" spans="1:43" s="122" customFormat="1" ht="13.8">
      <c r="A462" s="58" t="s">
        <v>614</v>
      </c>
      <c r="B462" s="44"/>
      <c r="C462" s="151" t="s">
        <v>622</v>
      </c>
      <c r="D462" s="94" t="s">
        <v>1019</v>
      </c>
      <c r="E462" s="258"/>
      <c r="F462" s="88">
        <f t="shared" si="9"/>
        <v>6.375</v>
      </c>
      <c r="G462" s="97">
        <v>1</v>
      </c>
      <c r="H462" s="144"/>
      <c r="J462" s="34"/>
      <c r="AQ462" s="123"/>
    </row>
    <row r="463" spans="1:43" s="122" customFormat="1" ht="13.8">
      <c r="A463" s="58" t="s">
        <v>615</v>
      </c>
      <c r="B463" s="44"/>
      <c r="C463" s="147"/>
      <c r="D463" s="94"/>
      <c r="E463" s="258"/>
      <c r="F463" s="88"/>
      <c r="G463" s="97"/>
      <c r="H463" s="144"/>
      <c r="J463" s="34"/>
      <c r="AQ463" s="123"/>
    </row>
    <row r="464" spans="1:43" s="122" customFormat="1" ht="13.8">
      <c r="A464" s="58" t="s">
        <v>616</v>
      </c>
      <c r="B464" s="44"/>
      <c r="C464" s="145"/>
      <c r="D464" s="140" t="s">
        <v>1063</v>
      </c>
      <c r="E464" s="258"/>
      <c r="F464" s="88"/>
      <c r="G464" s="97"/>
      <c r="H464" s="144"/>
      <c r="J464" s="34"/>
      <c r="AQ464" s="123"/>
    </row>
    <row r="465" spans="1:43" s="122" customFormat="1" ht="13.8">
      <c r="A465" s="58" t="s">
        <v>617</v>
      </c>
      <c r="B465" s="44"/>
      <c r="C465" s="145"/>
      <c r="D465" s="107" t="s">
        <v>1416</v>
      </c>
      <c r="E465" s="257" t="s">
        <v>41</v>
      </c>
      <c r="F465" s="49">
        <f>SUM(F467:F526)</f>
        <v>174.63499999999996</v>
      </c>
      <c r="G465" s="97"/>
      <c r="H465" s="144"/>
      <c r="J465" s="34"/>
      <c r="AQ465" s="123"/>
    </row>
    <row r="466" spans="1:43" s="122" customFormat="1" ht="13.8">
      <c r="A466" s="58" t="s">
        <v>618</v>
      </c>
      <c r="B466" s="44"/>
      <c r="C466" s="141" t="s">
        <v>962</v>
      </c>
      <c r="D466" s="143" t="s">
        <v>1417</v>
      </c>
      <c r="E466" s="258"/>
      <c r="F466" s="88"/>
      <c r="G466" s="97"/>
      <c r="H466" s="144"/>
      <c r="J466" s="34"/>
      <c r="AQ466" s="123"/>
    </row>
    <row r="467" spans="1:43" s="122" customFormat="1" ht="13.8">
      <c r="A467" s="58" t="s">
        <v>619</v>
      </c>
      <c r="B467" s="44"/>
      <c r="C467" s="151" t="s">
        <v>228</v>
      </c>
      <c r="D467" s="94" t="s">
        <v>250</v>
      </c>
      <c r="E467" s="258"/>
      <c r="F467" s="88">
        <f>0.255*14*1</f>
        <v>3.5700000000000003</v>
      </c>
      <c r="G467" s="97">
        <v>1</v>
      </c>
      <c r="H467" s="144"/>
      <c r="J467" s="34"/>
      <c r="AQ467" s="123"/>
    </row>
    <row r="468" spans="1:43" s="122" customFormat="1" ht="13.8">
      <c r="A468" s="58" t="s">
        <v>620</v>
      </c>
      <c r="B468" s="44"/>
      <c r="C468" s="151" t="s">
        <v>226</v>
      </c>
      <c r="D468" s="129" t="s">
        <v>1064</v>
      </c>
      <c r="E468" s="258"/>
      <c r="F468" s="88">
        <f>0.44*10*1</f>
        <v>4.4000000000000004</v>
      </c>
      <c r="G468" s="97">
        <v>1</v>
      </c>
      <c r="H468" s="144"/>
      <c r="J468" s="34"/>
      <c r="AQ468" s="123"/>
    </row>
    <row r="469" spans="1:43" s="122" customFormat="1" ht="13.8">
      <c r="A469" s="58" t="s">
        <v>621</v>
      </c>
      <c r="B469" s="44"/>
      <c r="C469" s="151" t="s">
        <v>224</v>
      </c>
      <c r="D469" s="94" t="s">
        <v>1051</v>
      </c>
      <c r="E469" s="258"/>
      <c r="F469" s="88">
        <f t="shared" ref="F469" si="10">0.255*10*1</f>
        <v>2.5499999999999998</v>
      </c>
      <c r="G469" s="97">
        <v>1</v>
      </c>
      <c r="H469" s="144"/>
      <c r="J469" s="34"/>
      <c r="AQ469" s="123"/>
    </row>
    <row r="470" spans="1:43" s="122" customFormat="1" ht="13.8">
      <c r="A470" s="58" t="s">
        <v>623</v>
      </c>
      <c r="B470" s="44"/>
      <c r="C470" s="151" t="s">
        <v>228</v>
      </c>
      <c r="D470" s="94" t="s">
        <v>259</v>
      </c>
      <c r="E470" s="258"/>
      <c r="F470" s="88">
        <f>0.255*15*1</f>
        <v>3.8250000000000002</v>
      </c>
      <c r="G470" s="97">
        <v>1</v>
      </c>
      <c r="H470" s="144"/>
      <c r="J470" s="34"/>
      <c r="AQ470" s="123"/>
    </row>
    <row r="471" spans="1:43" s="122" customFormat="1" ht="13.8">
      <c r="A471" s="58" t="s">
        <v>624</v>
      </c>
      <c r="B471" s="44"/>
      <c r="C471" s="147"/>
      <c r="D471" s="94"/>
      <c r="E471" s="258"/>
      <c r="F471" s="88"/>
      <c r="G471" s="97"/>
      <c r="H471" s="144"/>
      <c r="J471" s="34"/>
      <c r="AQ471" s="123"/>
    </row>
    <row r="472" spans="1:43" s="122" customFormat="1" ht="13.8">
      <c r="A472" s="58" t="s">
        <v>625</v>
      </c>
      <c r="B472" s="44"/>
      <c r="C472" s="141" t="s">
        <v>962</v>
      </c>
      <c r="D472" s="143" t="s">
        <v>1418</v>
      </c>
      <c r="E472" s="258"/>
      <c r="F472" s="88"/>
      <c r="G472" s="97"/>
      <c r="H472" s="144"/>
      <c r="J472" s="34"/>
      <c r="AQ472" s="123"/>
    </row>
    <row r="473" spans="1:43" s="122" customFormat="1" ht="13.8">
      <c r="A473" s="58" t="s">
        <v>626</v>
      </c>
      <c r="B473" s="44"/>
      <c r="C473" s="151" t="s">
        <v>206</v>
      </c>
      <c r="D473" s="94" t="s">
        <v>259</v>
      </c>
      <c r="E473" s="258"/>
      <c r="F473" s="88">
        <f t="shared" ref="F473" si="11">0.255*15*1</f>
        <v>3.8250000000000002</v>
      </c>
      <c r="G473" s="97">
        <v>1</v>
      </c>
      <c r="H473" s="144"/>
      <c r="J473" s="34"/>
      <c r="AQ473" s="123"/>
    </row>
    <row r="474" spans="1:43" s="122" customFormat="1" ht="13.8">
      <c r="A474" s="58" t="s">
        <v>627</v>
      </c>
      <c r="B474" s="44"/>
      <c r="C474" s="151" t="s">
        <v>205</v>
      </c>
      <c r="D474" s="94" t="s">
        <v>989</v>
      </c>
      <c r="E474" s="258"/>
      <c r="F474" s="88">
        <f>0.255*20*1</f>
        <v>5.0999999999999996</v>
      </c>
      <c r="G474" s="97">
        <v>1</v>
      </c>
      <c r="H474" s="144"/>
      <c r="J474" s="34"/>
      <c r="AQ474" s="123"/>
    </row>
    <row r="475" spans="1:43" s="122" customFormat="1" ht="13.8">
      <c r="A475" s="58" t="s">
        <v>628</v>
      </c>
      <c r="B475" s="44"/>
      <c r="C475" s="151" t="s">
        <v>201</v>
      </c>
      <c r="D475" s="94" t="s">
        <v>1051</v>
      </c>
      <c r="E475" s="258"/>
      <c r="F475" s="88">
        <f>0.255*10*1</f>
        <v>2.5499999999999998</v>
      </c>
      <c r="G475" s="97">
        <v>1</v>
      </c>
      <c r="H475" s="144"/>
      <c r="J475" s="34"/>
      <c r="AQ475" s="123"/>
    </row>
    <row r="476" spans="1:43" s="122" customFormat="1" ht="13.8">
      <c r="A476" s="58" t="s">
        <v>629</v>
      </c>
      <c r="B476" s="44"/>
      <c r="C476" s="151" t="s">
        <v>203</v>
      </c>
      <c r="D476" s="129" t="s">
        <v>1065</v>
      </c>
      <c r="E476" s="258"/>
      <c r="F476" s="88">
        <f>0.44*6*1</f>
        <v>2.64</v>
      </c>
      <c r="G476" s="97">
        <v>1</v>
      </c>
      <c r="H476" s="144"/>
      <c r="J476" s="34"/>
      <c r="AQ476" s="123"/>
    </row>
    <row r="477" spans="1:43" s="122" customFormat="1" ht="13.8">
      <c r="A477" s="58" t="s">
        <v>630</v>
      </c>
      <c r="B477" s="44"/>
      <c r="C477" s="151" t="s">
        <v>203</v>
      </c>
      <c r="D477" s="94" t="s">
        <v>1066</v>
      </c>
      <c r="E477" s="258"/>
      <c r="F477" s="88">
        <f>0.255*8*1</f>
        <v>2.04</v>
      </c>
      <c r="G477" s="97">
        <v>1</v>
      </c>
      <c r="H477" s="144"/>
      <c r="J477" s="34"/>
      <c r="AQ477" s="123"/>
    </row>
    <row r="478" spans="1:43" s="122" customFormat="1" ht="13.8">
      <c r="A478" s="58" t="s">
        <v>631</v>
      </c>
      <c r="B478" s="44"/>
      <c r="C478" s="151" t="s">
        <v>197</v>
      </c>
      <c r="D478" s="94" t="s">
        <v>250</v>
      </c>
      <c r="E478" s="258"/>
      <c r="F478" s="88">
        <f>0.255*14*1</f>
        <v>3.5700000000000003</v>
      </c>
      <c r="G478" s="97">
        <v>1</v>
      </c>
      <c r="H478" s="144"/>
      <c r="J478" s="34"/>
      <c r="AQ478" s="123"/>
    </row>
    <row r="479" spans="1:43" s="122" customFormat="1" ht="13.8">
      <c r="A479" s="58" t="s">
        <v>632</v>
      </c>
      <c r="B479" s="44"/>
      <c r="C479" s="151" t="s">
        <v>195</v>
      </c>
      <c r="D479" s="94" t="s">
        <v>250</v>
      </c>
      <c r="E479" s="258"/>
      <c r="F479" s="88">
        <f>0.255*14*1</f>
        <v>3.5700000000000003</v>
      </c>
      <c r="G479" s="97">
        <v>1</v>
      </c>
      <c r="H479" s="144"/>
      <c r="J479" s="34"/>
      <c r="AQ479" s="123"/>
    </row>
    <row r="480" spans="1:43" s="122" customFormat="1" ht="13.8">
      <c r="A480" s="58" t="s">
        <v>633</v>
      </c>
      <c r="B480" s="44"/>
      <c r="C480" s="151" t="s">
        <v>193</v>
      </c>
      <c r="D480" s="94" t="s">
        <v>1058</v>
      </c>
      <c r="E480" s="258"/>
      <c r="F480" s="88">
        <f>0.255*21*1</f>
        <v>5.3550000000000004</v>
      </c>
      <c r="G480" s="97">
        <v>1</v>
      </c>
      <c r="H480" s="144"/>
      <c r="J480" s="34"/>
      <c r="AQ480" s="123"/>
    </row>
    <row r="481" spans="1:43" s="122" customFormat="1" ht="13.8">
      <c r="A481" s="58" t="s">
        <v>634</v>
      </c>
      <c r="B481" s="44"/>
      <c r="C481" s="151" t="s">
        <v>190</v>
      </c>
      <c r="D481" s="94" t="s">
        <v>259</v>
      </c>
      <c r="E481" s="258"/>
      <c r="F481" s="88">
        <f t="shared" ref="F481:F482" si="12">0.255*15*1</f>
        <v>3.8250000000000002</v>
      </c>
      <c r="G481" s="97">
        <v>1</v>
      </c>
      <c r="H481" s="144"/>
      <c r="J481" s="34"/>
      <c r="AQ481" s="123"/>
    </row>
    <row r="482" spans="1:43" s="122" customFormat="1" ht="13.8">
      <c r="A482" s="58" t="s">
        <v>635</v>
      </c>
      <c r="B482" s="44"/>
      <c r="C482" s="151" t="s">
        <v>193</v>
      </c>
      <c r="D482" s="94" t="s">
        <v>259</v>
      </c>
      <c r="E482" s="258"/>
      <c r="F482" s="88">
        <f t="shared" si="12"/>
        <v>3.8250000000000002</v>
      </c>
      <c r="G482" s="97">
        <v>1</v>
      </c>
      <c r="H482" s="144"/>
      <c r="J482" s="34"/>
      <c r="AQ482" s="123"/>
    </row>
    <row r="483" spans="1:43" s="122" customFormat="1" ht="13.8">
      <c r="A483" s="58" t="s">
        <v>636</v>
      </c>
      <c r="B483" s="44"/>
      <c r="C483" s="151" t="s">
        <v>188</v>
      </c>
      <c r="D483" s="129" t="s">
        <v>1067</v>
      </c>
      <c r="E483" s="258"/>
      <c r="F483" s="88">
        <f>0.44*5*1</f>
        <v>2.2000000000000002</v>
      </c>
      <c r="G483" s="97">
        <v>1</v>
      </c>
      <c r="H483" s="144"/>
      <c r="J483" s="34"/>
      <c r="AQ483" s="123"/>
    </row>
    <row r="484" spans="1:43" s="122" customFormat="1" ht="13.8">
      <c r="A484" s="58" t="s">
        <v>637</v>
      </c>
      <c r="B484" s="44"/>
      <c r="C484" s="151" t="s">
        <v>186</v>
      </c>
      <c r="D484" s="94" t="s">
        <v>1068</v>
      </c>
      <c r="E484" s="258"/>
      <c r="F484" s="88">
        <f>0.205*9*1</f>
        <v>1.845</v>
      </c>
      <c r="G484" s="97">
        <v>1</v>
      </c>
      <c r="H484" s="144"/>
      <c r="J484" s="34"/>
      <c r="AQ484" s="123"/>
    </row>
    <row r="485" spans="1:43" s="122" customFormat="1" ht="13.8">
      <c r="A485" s="58" t="s">
        <v>638</v>
      </c>
      <c r="B485" s="44"/>
      <c r="C485" s="147"/>
      <c r="D485" s="94"/>
      <c r="E485" s="258"/>
      <c r="F485" s="88"/>
      <c r="G485" s="97"/>
      <c r="H485" s="144"/>
      <c r="J485" s="34"/>
      <c r="AQ485" s="123"/>
    </row>
    <row r="486" spans="1:43" s="122" customFormat="1" ht="13.8">
      <c r="A486" s="58" t="s">
        <v>639</v>
      </c>
      <c r="B486" s="44"/>
      <c r="C486" s="141" t="s">
        <v>962</v>
      </c>
      <c r="D486" s="143" t="s">
        <v>1419</v>
      </c>
      <c r="E486" s="258"/>
      <c r="F486" s="88"/>
      <c r="G486" s="97"/>
      <c r="H486" s="144"/>
      <c r="J486" s="34"/>
      <c r="AQ486" s="123"/>
    </row>
    <row r="487" spans="1:43" s="122" customFormat="1" ht="13.8">
      <c r="A487" s="58" t="s">
        <v>641</v>
      </c>
      <c r="B487" s="44"/>
      <c r="C487" s="141" t="s">
        <v>372</v>
      </c>
      <c r="D487" s="94" t="s">
        <v>1051</v>
      </c>
      <c r="E487" s="258"/>
      <c r="F487" s="88">
        <f>0.255*10*1</f>
        <v>2.5499999999999998</v>
      </c>
      <c r="G487" s="97">
        <v>1</v>
      </c>
      <c r="H487" s="121"/>
      <c r="J487" s="34"/>
      <c r="AQ487" s="123"/>
    </row>
    <row r="488" spans="1:43" s="122" customFormat="1" ht="13.8">
      <c r="A488" s="58" t="s">
        <v>643</v>
      </c>
      <c r="B488" s="44"/>
      <c r="C488" s="141" t="s">
        <v>1069</v>
      </c>
      <c r="D488" s="94" t="s">
        <v>1051</v>
      </c>
      <c r="E488" s="258"/>
      <c r="F488" s="88">
        <f t="shared" ref="F488:F490" si="13">0.255*10*1</f>
        <v>2.5499999999999998</v>
      </c>
      <c r="G488" s="97">
        <v>1</v>
      </c>
      <c r="H488" s="121"/>
      <c r="J488" s="34"/>
      <c r="AQ488" s="123"/>
    </row>
    <row r="489" spans="1:43" s="122" customFormat="1" ht="13.8">
      <c r="A489" s="58" t="s">
        <v>644</v>
      </c>
      <c r="B489" s="44"/>
      <c r="C489" s="141" t="s">
        <v>1069</v>
      </c>
      <c r="D489" s="94" t="s">
        <v>1070</v>
      </c>
      <c r="E489" s="258"/>
      <c r="F489" s="88">
        <f t="shared" si="13"/>
        <v>2.5499999999999998</v>
      </c>
      <c r="G489" s="97">
        <v>1</v>
      </c>
      <c r="H489" s="121"/>
      <c r="J489" s="34"/>
      <c r="AQ489" s="123"/>
    </row>
    <row r="490" spans="1:43" s="122" customFormat="1" ht="13.8">
      <c r="A490" s="58" t="s">
        <v>645</v>
      </c>
      <c r="B490" s="44"/>
      <c r="C490" s="141" t="s">
        <v>224</v>
      </c>
      <c r="D490" s="94" t="s">
        <v>1051</v>
      </c>
      <c r="E490" s="258"/>
      <c r="F490" s="88">
        <f t="shared" si="13"/>
        <v>2.5499999999999998</v>
      </c>
      <c r="G490" s="97">
        <v>1</v>
      </c>
      <c r="H490" s="121"/>
      <c r="J490" s="34"/>
      <c r="AQ490" s="123"/>
    </row>
    <row r="491" spans="1:43" s="122" customFormat="1" ht="13.8">
      <c r="A491" s="58" t="s">
        <v>646</v>
      </c>
      <c r="B491" s="44"/>
      <c r="C491" s="141" t="s">
        <v>224</v>
      </c>
      <c r="D491" s="94" t="s">
        <v>250</v>
      </c>
      <c r="E491" s="258"/>
      <c r="F491" s="88">
        <f>0.255*14*1</f>
        <v>3.5700000000000003</v>
      </c>
      <c r="G491" s="97">
        <v>1</v>
      </c>
      <c r="H491" s="121"/>
      <c r="J491" s="34"/>
      <c r="AQ491" s="123"/>
    </row>
    <row r="492" spans="1:43" s="122" customFormat="1" ht="13.8">
      <c r="A492" s="58" t="s">
        <v>648</v>
      </c>
      <c r="B492" s="44"/>
      <c r="C492" s="141" t="s">
        <v>222</v>
      </c>
      <c r="D492" s="94" t="s">
        <v>250</v>
      </c>
      <c r="E492" s="258"/>
      <c r="F492" s="88">
        <f>0.255*14*1</f>
        <v>3.5700000000000003</v>
      </c>
      <c r="G492" s="97">
        <v>1</v>
      </c>
      <c r="H492" s="121"/>
      <c r="J492" s="34"/>
      <c r="AQ492" s="123"/>
    </row>
    <row r="493" spans="1:43" s="122" customFormat="1" ht="27.6">
      <c r="A493" s="58" t="s">
        <v>649</v>
      </c>
      <c r="B493" s="44"/>
      <c r="C493" s="141" t="s">
        <v>1071</v>
      </c>
      <c r="D493" s="94" t="s">
        <v>1420</v>
      </c>
      <c r="E493" s="257"/>
      <c r="F493" s="48"/>
      <c r="G493" s="97"/>
      <c r="H493" s="121"/>
      <c r="J493" s="34"/>
      <c r="AQ493" s="123"/>
    </row>
    <row r="494" spans="1:43" s="122" customFormat="1" ht="13.8">
      <c r="A494" s="58" t="s">
        <v>651</v>
      </c>
      <c r="B494" s="44"/>
      <c r="C494" s="141" t="s">
        <v>1071</v>
      </c>
      <c r="D494" s="94" t="s">
        <v>964</v>
      </c>
      <c r="E494" s="257"/>
      <c r="F494" s="88">
        <f>0.255*20*2</f>
        <v>10.199999999999999</v>
      </c>
      <c r="G494" s="97">
        <v>2</v>
      </c>
      <c r="H494" s="121"/>
      <c r="J494" s="34"/>
      <c r="AQ494" s="123"/>
    </row>
    <row r="495" spans="1:43" s="122" customFormat="1" ht="13.8">
      <c r="A495" s="58" t="s">
        <v>652</v>
      </c>
      <c r="B495" s="44"/>
      <c r="C495" s="141" t="s">
        <v>296</v>
      </c>
      <c r="D495" s="94" t="s">
        <v>250</v>
      </c>
      <c r="E495" s="257"/>
      <c r="F495" s="88">
        <f>0.255*14*1</f>
        <v>3.5700000000000003</v>
      </c>
      <c r="G495" s="97">
        <v>1</v>
      </c>
      <c r="H495" s="121"/>
      <c r="J495" s="34"/>
      <c r="AQ495" s="123"/>
    </row>
    <row r="496" spans="1:43" s="122" customFormat="1" ht="13.8">
      <c r="A496" s="58" t="s">
        <v>653</v>
      </c>
      <c r="B496" s="44"/>
      <c r="C496" s="141" t="s">
        <v>1072</v>
      </c>
      <c r="D496" s="94" t="s">
        <v>1073</v>
      </c>
      <c r="E496" s="258"/>
      <c r="F496" s="88">
        <f>0.205*10*1</f>
        <v>2.0499999999999998</v>
      </c>
      <c r="G496" s="97">
        <v>1</v>
      </c>
      <c r="H496" s="121"/>
      <c r="J496" s="34"/>
      <c r="AQ496" s="123"/>
    </row>
    <row r="497" spans="1:43" s="122" customFormat="1" ht="13.8">
      <c r="A497" s="58" t="s">
        <v>654</v>
      </c>
      <c r="B497" s="44"/>
      <c r="C497" s="145" t="s">
        <v>296</v>
      </c>
      <c r="D497" s="152" t="s">
        <v>1108</v>
      </c>
      <c r="E497" s="257"/>
      <c r="F497" s="48"/>
      <c r="G497" s="49"/>
      <c r="H497" s="121"/>
      <c r="J497" s="34"/>
      <c r="AQ497" s="123"/>
    </row>
    <row r="498" spans="1:43" s="122" customFormat="1" ht="13.8">
      <c r="A498" s="58" t="s">
        <v>655</v>
      </c>
      <c r="B498" s="44"/>
      <c r="C498" s="145"/>
      <c r="D498" s="152"/>
      <c r="E498" s="257"/>
      <c r="F498" s="48"/>
      <c r="G498" s="49"/>
      <c r="H498" s="121"/>
      <c r="J498" s="34"/>
      <c r="AQ498" s="123"/>
    </row>
    <row r="499" spans="1:43" s="122" customFormat="1" ht="13.8">
      <c r="A499" s="58" t="s">
        <v>656</v>
      </c>
      <c r="B499" s="44"/>
      <c r="C499" s="141" t="s">
        <v>962</v>
      </c>
      <c r="D499" s="143" t="s">
        <v>1421</v>
      </c>
      <c r="E499" s="257"/>
      <c r="F499" s="48"/>
      <c r="G499" s="49"/>
      <c r="H499" s="121"/>
      <c r="J499" s="34"/>
      <c r="AQ499" s="123"/>
    </row>
    <row r="500" spans="1:43" s="122" customFormat="1" ht="13.8">
      <c r="A500" s="58" t="s">
        <v>657</v>
      </c>
      <c r="B500" s="44"/>
      <c r="C500" s="141" t="s">
        <v>234</v>
      </c>
      <c r="D500" s="94" t="s">
        <v>259</v>
      </c>
      <c r="E500" s="258"/>
      <c r="F500" s="88">
        <f>0.255*15*1</f>
        <v>3.8250000000000002</v>
      </c>
      <c r="G500" s="97">
        <v>1</v>
      </c>
      <c r="H500" s="121"/>
      <c r="J500" s="34"/>
      <c r="AQ500" s="123"/>
    </row>
    <row r="501" spans="1:43" s="122" customFormat="1" ht="13.8">
      <c r="A501" s="58" t="s">
        <v>658</v>
      </c>
      <c r="B501" s="44"/>
      <c r="C501" s="141" t="s">
        <v>233</v>
      </c>
      <c r="D501" s="94" t="s">
        <v>259</v>
      </c>
      <c r="E501" s="258"/>
      <c r="F501" s="88">
        <f t="shared" ref="F501:F502" si="14">0.255*15*1</f>
        <v>3.8250000000000002</v>
      </c>
      <c r="G501" s="97">
        <v>1</v>
      </c>
      <c r="H501" s="121"/>
      <c r="J501" s="34"/>
      <c r="AQ501" s="123"/>
    </row>
    <row r="502" spans="1:43" s="122" customFormat="1" ht="13.8">
      <c r="A502" s="58" t="s">
        <v>659</v>
      </c>
      <c r="B502" s="44"/>
      <c r="C502" s="141" t="s">
        <v>244</v>
      </c>
      <c r="D502" s="94" t="s">
        <v>259</v>
      </c>
      <c r="E502" s="258"/>
      <c r="F502" s="88">
        <f t="shared" si="14"/>
        <v>3.8250000000000002</v>
      </c>
      <c r="G502" s="97">
        <v>1</v>
      </c>
      <c r="H502" s="121"/>
      <c r="J502" s="34"/>
      <c r="AQ502" s="123"/>
    </row>
    <row r="503" spans="1:43" s="122" customFormat="1" ht="13.8">
      <c r="A503" s="58" t="s">
        <v>660</v>
      </c>
      <c r="B503" s="44"/>
      <c r="C503" s="141" t="s">
        <v>286</v>
      </c>
      <c r="D503" s="94" t="s">
        <v>262</v>
      </c>
      <c r="E503" s="258"/>
      <c r="F503" s="88">
        <f>0.255*16*1</f>
        <v>4.08</v>
      </c>
      <c r="G503" s="97">
        <v>1</v>
      </c>
      <c r="H503" s="121"/>
      <c r="J503" s="34"/>
      <c r="AQ503" s="123"/>
    </row>
    <row r="504" spans="1:43" s="122" customFormat="1" ht="13.8">
      <c r="A504" s="58" t="s">
        <v>661</v>
      </c>
      <c r="B504" s="44"/>
      <c r="C504" s="141" t="s">
        <v>199</v>
      </c>
      <c r="D504" s="129" t="s">
        <v>1074</v>
      </c>
      <c r="E504" s="258"/>
      <c r="F504" s="88">
        <f>0.44*15*1</f>
        <v>6.6</v>
      </c>
      <c r="G504" s="97">
        <v>1</v>
      </c>
      <c r="H504" s="121"/>
      <c r="J504" s="34"/>
      <c r="AQ504" s="123"/>
    </row>
    <row r="505" spans="1:43" s="122" customFormat="1" ht="13.8">
      <c r="A505" s="58" t="s">
        <v>662</v>
      </c>
      <c r="B505" s="44"/>
      <c r="C505" s="141" t="s">
        <v>246</v>
      </c>
      <c r="D505" s="94" t="s">
        <v>968</v>
      </c>
      <c r="E505" s="258"/>
      <c r="F505" s="88">
        <f>0.205*10*1</f>
        <v>2.0499999999999998</v>
      </c>
      <c r="G505" s="97">
        <v>1</v>
      </c>
      <c r="H505" s="121"/>
      <c r="J505" s="34"/>
      <c r="AQ505" s="123"/>
    </row>
    <row r="506" spans="1:43" s="122" customFormat="1" ht="13.8">
      <c r="A506" s="58" t="s">
        <v>663</v>
      </c>
      <c r="B506" s="44"/>
      <c r="C506" s="141" t="s">
        <v>186</v>
      </c>
      <c r="D506" s="94" t="s">
        <v>259</v>
      </c>
      <c r="E506" s="258"/>
      <c r="F506" s="88">
        <f t="shared" ref="F506" si="15">0.255*15*1</f>
        <v>3.8250000000000002</v>
      </c>
      <c r="G506" s="97">
        <v>1</v>
      </c>
      <c r="H506" s="121"/>
      <c r="J506" s="34"/>
      <c r="AQ506" s="123"/>
    </row>
    <row r="507" spans="1:43" s="122" customFormat="1" ht="13.8">
      <c r="A507" s="58" t="s">
        <v>664</v>
      </c>
      <c r="B507" s="44"/>
      <c r="C507" s="141" t="s">
        <v>236</v>
      </c>
      <c r="D507" s="129" t="s">
        <v>1074</v>
      </c>
      <c r="E507" s="258"/>
      <c r="F507" s="88">
        <f>0.44*15*1</f>
        <v>6.6</v>
      </c>
      <c r="G507" s="97">
        <v>1</v>
      </c>
      <c r="H507" s="121"/>
      <c r="J507" s="34"/>
      <c r="AQ507" s="123"/>
    </row>
    <row r="508" spans="1:43" s="122" customFormat="1" ht="13.8">
      <c r="A508" s="58" t="s">
        <v>665</v>
      </c>
      <c r="B508" s="44"/>
      <c r="C508" s="145"/>
      <c r="D508" s="152"/>
      <c r="E508" s="257"/>
      <c r="F508" s="48"/>
      <c r="G508" s="49"/>
      <c r="H508" s="121"/>
      <c r="J508" s="34"/>
      <c r="AQ508" s="123"/>
    </row>
    <row r="509" spans="1:43" s="122" customFormat="1" ht="13.8">
      <c r="A509" s="58" t="s">
        <v>666</v>
      </c>
      <c r="B509" s="44"/>
      <c r="C509" s="141" t="s">
        <v>962</v>
      </c>
      <c r="D509" s="143" t="s">
        <v>1422</v>
      </c>
      <c r="E509" s="257"/>
      <c r="F509" s="48"/>
      <c r="G509" s="49"/>
      <c r="H509" s="121"/>
      <c r="J509" s="34"/>
      <c r="AQ509" s="123"/>
    </row>
    <row r="510" spans="1:43" s="122" customFormat="1" ht="13.8">
      <c r="A510" s="58" t="s">
        <v>667</v>
      </c>
      <c r="B510" s="44"/>
      <c r="C510" s="141" t="s">
        <v>350</v>
      </c>
      <c r="D510" s="94" t="s">
        <v>1051</v>
      </c>
      <c r="E510" s="257"/>
      <c r="F510" s="88">
        <f>0.255*10*1</f>
        <v>2.5499999999999998</v>
      </c>
      <c r="G510" s="97">
        <v>1</v>
      </c>
      <c r="H510" s="121"/>
      <c r="J510" s="34"/>
      <c r="AQ510" s="123"/>
    </row>
    <row r="511" spans="1:43" s="122" customFormat="1" ht="13.8">
      <c r="A511" s="58" t="s">
        <v>668</v>
      </c>
      <c r="B511" s="44"/>
      <c r="C511" s="141" t="s">
        <v>573</v>
      </c>
      <c r="D511" s="94" t="s">
        <v>248</v>
      </c>
      <c r="E511" s="257"/>
      <c r="F511" s="88">
        <f>0.255*12*1</f>
        <v>3.06</v>
      </c>
      <c r="G511" s="97">
        <v>1</v>
      </c>
      <c r="H511" s="121"/>
      <c r="J511" s="34"/>
      <c r="AQ511" s="123"/>
    </row>
    <row r="512" spans="1:43" s="122" customFormat="1" ht="13.8">
      <c r="A512" s="58" t="s">
        <v>669</v>
      </c>
      <c r="B512" s="44"/>
      <c r="C512" s="141" t="s">
        <v>573</v>
      </c>
      <c r="D512" s="94" t="s">
        <v>1022</v>
      </c>
      <c r="E512" s="257"/>
      <c r="F512" s="88">
        <f>0.255*23*1</f>
        <v>5.8650000000000002</v>
      </c>
      <c r="G512" s="97">
        <v>1</v>
      </c>
      <c r="H512" s="121"/>
      <c r="J512" s="34"/>
      <c r="AQ512" s="123"/>
    </row>
    <row r="513" spans="1:43" s="122" customFormat="1" ht="13.8">
      <c r="A513" s="58" t="s">
        <v>673</v>
      </c>
      <c r="B513" s="44"/>
      <c r="C513" s="151" t="s">
        <v>396</v>
      </c>
      <c r="D513" s="94" t="s">
        <v>1066</v>
      </c>
      <c r="E513" s="257"/>
      <c r="F513" s="88">
        <f>0.255*8*1</f>
        <v>2.04</v>
      </c>
      <c r="G513" s="97">
        <v>1</v>
      </c>
      <c r="H513" s="121"/>
      <c r="J513" s="34"/>
      <c r="AQ513" s="123"/>
    </row>
    <row r="514" spans="1:43" s="122" customFormat="1" ht="13.8">
      <c r="A514" s="58" t="s">
        <v>674</v>
      </c>
      <c r="B514" s="44"/>
      <c r="C514" s="151" t="s">
        <v>396</v>
      </c>
      <c r="D514" s="94" t="s">
        <v>1051</v>
      </c>
      <c r="E514" s="257"/>
      <c r="F514" s="88">
        <f>0.255*10*1</f>
        <v>2.5499999999999998</v>
      </c>
      <c r="G514" s="97">
        <v>1</v>
      </c>
      <c r="H514" s="121"/>
      <c r="J514" s="34"/>
      <c r="AQ514" s="123"/>
    </row>
    <row r="515" spans="1:43" s="122" customFormat="1" ht="13.8">
      <c r="A515" s="58" t="s">
        <v>677</v>
      </c>
      <c r="B515" s="44"/>
      <c r="C515" s="151" t="s">
        <v>398</v>
      </c>
      <c r="D515" s="94" t="s">
        <v>1075</v>
      </c>
      <c r="E515" s="258"/>
      <c r="F515" s="88">
        <f>0.205*11*1</f>
        <v>2.2549999999999999</v>
      </c>
      <c r="G515" s="97">
        <v>1</v>
      </c>
      <c r="H515" s="121"/>
      <c r="J515" s="34"/>
      <c r="AQ515" s="123"/>
    </row>
    <row r="516" spans="1:43" s="122" customFormat="1" ht="13.8">
      <c r="A516" s="58" t="s">
        <v>680</v>
      </c>
      <c r="B516" s="44"/>
      <c r="C516" s="151" t="s">
        <v>394</v>
      </c>
      <c r="D516" s="129" t="s">
        <v>1076</v>
      </c>
      <c r="E516" s="258"/>
      <c r="F516" s="88">
        <f>0.44*21*1</f>
        <v>9.24</v>
      </c>
      <c r="G516" s="97">
        <v>1</v>
      </c>
      <c r="H516" s="144"/>
      <c r="J516" s="34"/>
      <c r="AQ516" s="123"/>
    </row>
    <row r="517" spans="1:43" s="122" customFormat="1" ht="13.8">
      <c r="A517" s="58" t="s">
        <v>681</v>
      </c>
      <c r="B517" s="44"/>
      <c r="C517" s="151" t="s">
        <v>393</v>
      </c>
      <c r="D517" s="94" t="s">
        <v>1077</v>
      </c>
      <c r="E517" s="258"/>
      <c r="F517" s="88">
        <f>0.205*6*1</f>
        <v>1.23</v>
      </c>
      <c r="G517" s="97">
        <v>1</v>
      </c>
      <c r="H517" s="144"/>
      <c r="J517" s="34"/>
      <c r="AQ517" s="123"/>
    </row>
    <row r="518" spans="1:43" s="122" customFormat="1" ht="13.8">
      <c r="A518" s="58" t="s">
        <v>683</v>
      </c>
      <c r="B518" s="44"/>
      <c r="C518" s="151" t="s">
        <v>393</v>
      </c>
      <c r="D518" s="94" t="s">
        <v>1078</v>
      </c>
      <c r="E518" s="258"/>
      <c r="F518" s="88">
        <f>0.205*7*1</f>
        <v>1.4349999999999998</v>
      </c>
      <c r="G518" s="97">
        <v>1</v>
      </c>
      <c r="H518" s="144"/>
      <c r="J518" s="34"/>
      <c r="AQ518" s="123"/>
    </row>
    <row r="519" spans="1:43" s="122" customFormat="1" ht="13.8">
      <c r="A519" s="58" t="s">
        <v>684</v>
      </c>
      <c r="B519" s="44"/>
      <c r="C519" s="147"/>
      <c r="D519" s="94"/>
      <c r="E519" s="258"/>
      <c r="F519" s="88"/>
      <c r="G519" s="97"/>
      <c r="H519" s="144"/>
      <c r="J519" s="34"/>
      <c r="AQ519" s="123"/>
    </row>
    <row r="520" spans="1:43" s="122" customFormat="1" ht="13.8">
      <c r="A520" s="58" t="s">
        <v>685</v>
      </c>
      <c r="B520" s="44"/>
      <c r="C520" s="141" t="s">
        <v>962</v>
      </c>
      <c r="D520" s="143" t="s">
        <v>1423</v>
      </c>
      <c r="E520" s="258"/>
      <c r="F520" s="88"/>
      <c r="G520" s="97"/>
      <c r="H520" s="144"/>
      <c r="J520" s="34"/>
      <c r="AQ520" s="123"/>
    </row>
    <row r="521" spans="1:43" s="122" customFormat="1" ht="13.8">
      <c r="A521" s="58" t="s">
        <v>687</v>
      </c>
      <c r="B521" s="44"/>
      <c r="C521" s="151" t="s">
        <v>496</v>
      </c>
      <c r="D521" s="94" t="s">
        <v>973</v>
      </c>
      <c r="E521" s="257"/>
      <c r="F521" s="88">
        <f>0.255*18*1</f>
        <v>4.59</v>
      </c>
      <c r="G521" s="97">
        <v>1</v>
      </c>
      <c r="H521" s="144"/>
      <c r="J521" s="34"/>
      <c r="AQ521" s="123"/>
    </row>
    <row r="522" spans="1:43" s="122" customFormat="1" ht="13.8">
      <c r="A522" s="58" t="s">
        <v>688</v>
      </c>
      <c r="B522" s="44"/>
      <c r="C522" s="151" t="s">
        <v>526</v>
      </c>
      <c r="D522" s="94" t="s">
        <v>248</v>
      </c>
      <c r="E522" s="257"/>
      <c r="F522" s="88">
        <f>0.255*12*1</f>
        <v>3.06</v>
      </c>
      <c r="G522" s="97">
        <v>1</v>
      </c>
      <c r="H522" s="144"/>
      <c r="J522" s="34"/>
      <c r="AQ522" s="123"/>
    </row>
    <row r="523" spans="1:43" s="122" customFormat="1" ht="13.8">
      <c r="A523" s="58" t="s">
        <v>689</v>
      </c>
      <c r="B523" s="44"/>
      <c r="C523" s="151" t="s">
        <v>526</v>
      </c>
      <c r="D523" s="94" t="s">
        <v>250</v>
      </c>
      <c r="E523" s="257"/>
      <c r="F523" s="88">
        <f>0.255*14*1</f>
        <v>3.5700000000000003</v>
      </c>
      <c r="G523" s="97">
        <v>1</v>
      </c>
      <c r="H523" s="144"/>
      <c r="J523" s="34"/>
      <c r="AQ523" s="123"/>
    </row>
    <row r="524" spans="1:43" s="122" customFormat="1" ht="13.8">
      <c r="A524" s="58" t="s">
        <v>690</v>
      </c>
      <c r="B524" s="44"/>
      <c r="C524" s="151" t="s">
        <v>527</v>
      </c>
      <c r="D524" s="94" t="s">
        <v>1079</v>
      </c>
      <c r="E524" s="257"/>
      <c r="F524" s="88">
        <f>0.255*9*1</f>
        <v>2.2949999999999999</v>
      </c>
      <c r="G524" s="97">
        <v>1</v>
      </c>
      <c r="H524" s="144"/>
      <c r="J524" s="34"/>
      <c r="AQ524" s="123"/>
    </row>
    <row r="525" spans="1:43" s="122" customFormat="1" ht="13.8">
      <c r="A525" s="58" t="s">
        <v>691</v>
      </c>
      <c r="B525" s="44"/>
      <c r="C525" s="151" t="s">
        <v>527</v>
      </c>
      <c r="D525" s="94" t="s">
        <v>978</v>
      </c>
      <c r="E525" s="257"/>
      <c r="F525" s="88">
        <f>0.255*19*1</f>
        <v>4.8449999999999998</v>
      </c>
      <c r="G525" s="97">
        <v>1</v>
      </c>
      <c r="H525" s="144"/>
      <c r="J525" s="34"/>
      <c r="AQ525" s="123"/>
    </row>
    <row r="526" spans="1:43" s="122" customFormat="1" ht="13.8">
      <c r="A526" s="58" t="s">
        <v>693</v>
      </c>
      <c r="B526" s="44"/>
      <c r="C526" s="151" t="s">
        <v>455</v>
      </c>
      <c r="D526" s="94" t="s">
        <v>250</v>
      </c>
      <c r="E526" s="257"/>
      <c r="F526" s="88">
        <f>0.255*14*1</f>
        <v>3.5700000000000003</v>
      </c>
      <c r="G526" s="97">
        <v>1</v>
      </c>
      <c r="H526" s="144"/>
      <c r="J526" s="34"/>
      <c r="AQ526" s="123"/>
    </row>
    <row r="527" spans="1:43" s="122" customFormat="1" ht="13.8">
      <c r="A527" s="58" t="s">
        <v>695</v>
      </c>
      <c r="B527" s="44"/>
      <c r="C527" s="147"/>
      <c r="D527" s="94"/>
      <c r="E527" s="258"/>
      <c r="F527" s="88"/>
      <c r="G527" s="97"/>
      <c r="H527" s="144"/>
      <c r="J527" s="34"/>
      <c r="AQ527" s="123"/>
    </row>
    <row r="528" spans="1:43" s="122" customFormat="1" ht="13.8">
      <c r="A528" s="58" t="s">
        <v>696</v>
      </c>
      <c r="B528" s="44"/>
      <c r="C528" s="145"/>
      <c r="D528" s="140" t="s">
        <v>1080</v>
      </c>
      <c r="E528" s="258"/>
      <c r="F528" s="88"/>
      <c r="G528" s="97"/>
      <c r="H528" s="144"/>
      <c r="J528" s="34"/>
      <c r="AQ528" s="123"/>
    </row>
    <row r="529" spans="1:43" s="122" customFormat="1" ht="13.8">
      <c r="A529" s="58" t="s">
        <v>697</v>
      </c>
      <c r="B529" s="44"/>
      <c r="C529" s="145"/>
      <c r="D529" s="107" t="s">
        <v>1424</v>
      </c>
      <c r="E529" s="257" t="s">
        <v>41</v>
      </c>
      <c r="F529" s="49">
        <f>SUM(F531:F563)</f>
        <v>135.53500000000003</v>
      </c>
      <c r="G529" s="97"/>
      <c r="H529" s="144"/>
      <c r="J529" s="34"/>
      <c r="AQ529" s="123"/>
    </row>
    <row r="530" spans="1:43" s="122" customFormat="1" ht="13.8">
      <c r="A530" s="58" t="s">
        <v>700</v>
      </c>
      <c r="B530" s="44"/>
      <c r="C530" s="141" t="s">
        <v>962</v>
      </c>
      <c r="D530" s="143" t="s">
        <v>1084</v>
      </c>
      <c r="E530" s="258"/>
      <c r="F530" s="88"/>
      <c r="G530" s="97"/>
      <c r="H530" s="144"/>
      <c r="J530" s="34"/>
      <c r="AQ530" s="123"/>
    </row>
    <row r="531" spans="1:43" s="122" customFormat="1" ht="13.8">
      <c r="A531" s="58" t="s">
        <v>703</v>
      </c>
      <c r="B531" s="44"/>
      <c r="C531" s="151" t="s">
        <v>1081</v>
      </c>
      <c r="D531" s="94" t="s">
        <v>259</v>
      </c>
      <c r="E531" s="258"/>
      <c r="F531" s="88">
        <f>0.255*15*1</f>
        <v>3.8250000000000002</v>
      </c>
      <c r="G531" s="97">
        <v>1</v>
      </c>
      <c r="H531" s="144"/>
      <c r="J531" s="34"/>
      <c r="AQ531" s="123"/>
    </row>
    <row r="532" spans="1:43" s="122" customFormat="1" ht="13.8">
      <c r="A532" s="58" t="s">
        <v>705</v>
      </c>
      <c r="B532" s="44"/>
      <c r="C532" s="151" t="s">
        <v>1081</v>
      </c>
      <c r="D532" s="94" t="s">
        <v>1051</v>
      </c>
      <c r="E532" s="258"/>
      <c r="F532" s="88">
        <f>0.255*10*1</f>
        <v>2.5499999999999998</v>
      </c>
      <c r="G532" s="97">
        <v>1</v>
      </c>
      <c r="H532" s="144"/>
      <c r="J532" s="34"/>
      <c r="AQ532" s="123"/>
    </row>
    <row r="533" spans="1:43" s="122" customFormat="1" ht="13.8">
      <c r="A533" s="58" t="s">
        <v>708</v>
      </c>
      <c r="B533" s="44"/>
      <c r="C533" s="151" t="s">
        <v>182</v>
      </c>
      <c r="D533" s="94" t="s">
        <v>1082</v>
      </c>
      <c r="E533" s="258"/>
      <c r="F533" s="88">
        <f>0.255*10*2</f>
        <v>5.0999999999999996</v>
      </c>
      <c r="G533" s="97">
        <v>2</v>
      </c>
      <c r="H533" s="144"/>
      <c r="J533" s="34"/>
      <c r="AQ533" s="123"/>
    </row>
    <row r="534" spans="1:43" s="122" customFormat="1" ht="13.8">
      <c r="A534" s="58" t="s">
        <v>710</v>
      </c>
      <c r="B534" s="44"/>
      <c r="C534" s="151" t="s">
        <v>282</v>
      </c>
      <c r="D534" s="94" t="s">
        <v>1083</v>
      </c>
      <c r="E534" s="258"/>
      <c r="F534" s="88">
        <f>0.255*10*3</f>
        <v>7.6499999999999995</v>
      </c>
      <c r="G534" s="97">
        <v>3</v>
      </c>
      <c r="H534" s="144"/>
      <c r="J534" s="34"/>
      <c r="AQ534" s="123"/>
    </row>
    <row r="535" spans="1:43" s="122" customFormat="1" ht="13.8">
      <c r="A535" s="58" t="s">
        <v>712</v>
      </c>
      <c r="B535" s="44"/>
      <c r="C535" s="151" t="s">
        <v>282</v>
      </c>
      <c r="D535" s="94" t="s">
        <v>989</v>
      </c>
      <c r="E535" s="258"/>
      <c r="F535" s="88">
        <f>0.255*20*1</f>
        <v>5.0999999999999996</v>
      </c>
      <c r="G535" s="97">
        <v>1</v>
      </c>
      <c r="H535" s="144"/>
      <c r="J535" s="34"/>
      <c r="AQ535" s="123"/>
    </row>
    <row r="536" spans="1:43" s="122" customFormat="1" ht="13.8">
      <c r="A536" s="58" t="s">
        <v>713</v>
      </c>
      <c r="B536" s="44"/>
      <c r="C536" s="147"/>
      <c r="D536" s="94"/>
      <c r="E536" s="258"/>
      <c r="F536" s="88"/>
      <c r="G536" s="97"/>
      <c r="H536" s="144"/>
      <c r="J536" s="34"/>
      <c r="AQ536" s="123"/>
    </row>
    <row r="537" spans="1:43" s="122" customFormat="1" ht="13.8">
      <c r="A537" s="58" t="s">
        <v>715</v>
      </c>
      <c r="B537" s="44"/>
      <c r="C537" s="141" t="s">
        <v>962</v>
      </c>
      <c r="D537" s="143" t="s">
        <v>1085</v>
      </c>
      <c r="E537" s="258"/>
      <c r="F537" s="88"/>
      <c r="G537" s="97"/>
      <c r="H537" s="144"/>
      <c r="J537" s="34"/>
      <c r="AQ537" s="123"/>
    </row>
    <row r="538" spans="1:43" s="122" customFormat="1" ht="13.8">
      <c r="A538" s="58" t="s">
        <v>717</v>
      </c>
      <c r="B538" s="44"/>
      <c r="C538" s="151" t="s">
        <v>301</v>
      </c>
      <c r="D538" s="94" t="s">
        <v>1082</v>
      </c>
      <c r="E538" s="258"/>
      <c r="F538" s="88">
        <f>0.255*10*2</f>
        <v>5.0999999999999996</v>
      </c>
      <c r="G538" s="97">
        <v>2</v>
      </c>
      <c r="H538" s="144"/>
      <c r="J538" s="34"/>
      <c r="AQ538" s="123"/>
    </row>
    <row r="539" spans="1:43" s="122" customFormat="1" ht="13.8">
      <c r="A539" s="58" t="s">
        <v>719</v>
      </c>
      <c r="B539" s="44"/>
      <c r="C539" s="151" t="s">
        <v>1060</v>
      </c>
      <c r="D539" s="94" t="s">
        <v>1086</v>
      </c>
      <c r="E539" s="258"/>
      <c r="F539" s="88">
        <f>0.255*10*4</f>
        <v>10.199999999999999</v>
      </c>
      <c r="G539" s="97">
        <v>4</v>
      </c>
      <c r="H539" s="144"/>
      <c r="J539" s="34"/>
      <c r="AQ539" s="123"/>
    </row>
    <row r="540" spans="1:43" s="122" customFormat="1" ht="13.8">
      <c r="A540" s="58" t="s">
        <v>721</v>
      </c>
      <c r="B540" s="44"/>
      <c r="C540" s="151" t="s">
        <v>1060</v>
      </c>
      <c r="D540" s="94" t="s">
        <v>1053</v>
      </c>
      <c r="E540" s="258"/>
      <c r="F540" s="88">
        <f>0.255*11*1</f>
        <v>2.8050000000000002</v>
      </c>
      <c r="G540" s="97">
        <v>1</v>
      </c>
      <c r="H540" s="144"/>
      <c r="J540" s="34"/>
      <c r="AQ540" s="123"/>
    </row>
    <row r="541" spans="1:43" s="122" customFormat="1" ht="13.8">
      <c r="A541" s="58" t="s">
        <v>723</v>
      </c>
      <c r="B541" s="44"/>
      <c r="C541" s="147"/>
      <c r="D541" s="94"/>
      <c r="E541" s="258"/>
      <c r="F541" s="88"/>
      <c r="G541" s="97"/>
      <c r="H541" s="144"/>
      <c r="J541" s="34"/>
      <c r="AQ541" s="123"/>
    </row>
    <row r="542" spans="1:43" s="122" customFormat="1" ht="13.8">
      <c r="A542" s="58" t="s">
        <v>725</v>
      </c>
      <c r="B542" s="44"/>
      <c r="C542" s="141" t="s">
        <v>962</v>
      </c>
      <c r="D542" s="143" t="s">
        <v>1087</v>
      </c>
      <c r="E542" s="258"/>
      <c r="F542" s="88"/>
      <c r="G542" s="97"/>
      <c r="H542" s="144"/>
      <c r="J542" s="34"/>
      <c r="AQ542" s="123"/>
    </row>
    <row r="543" spans="1:43" s="122" customFormat="1" ht="13.8">
      <c r="A543" s="58" t="s">
        <v>727</v>
      </c>
      <c r="B543" s="44"/>
      <c r="C543" s="151" t="s">
        <v>236</v>
      </c>
      <c r="D543" s="94" t="s">
        <v>989</v>
      </c>
      <c r="E543" s="258"/>
      <c r="F543" s="88">
        <f>0.255*20*1</f>
        <v>5.0999999999999996</v>
      </c>
      <c r="G543" s="97">
        <v>1</v>
      </c>
      <c r="H543" s="144"/>
      <c r="J543" s="34"/>
      <c r="AQ543" s="123"/>
    </row>
    <row r="544" spans="1:43" s="122" customFormat="1" ht="13.8">
      <c r="A544" s="58" t="s">
        <v>729</v>
      </c>
      <c r="B544" s="44"/>
      <c r="C544" s="151" t="s">
        <v>236</v>
      </c>
      <c r="D544" s="94" t="s">
        <v>1079</v>
      </c>
      <c r="E544" s="258"/>
      <c r="F544" s="88">
        <f>0.255*9*1</f>
        <v>2.2949999999999999</v>
      </c>
      <c r="G544" s="97">
        <v>1</v>
      </c>
      <c r="H544" s="144"/>
      <c r="J544" s="34"/>
      <c r="AQ544" s="123"/>
    </row>
    <row r="545" spans="1:43" s="122" customFormat="1" ht="13.8">
      <c r="A545" s="58" t="s">
        <v>730</v>
      </c>
      <c r="B545" s="44"/>
      <c r="C545" s="151" t="s">
        <v>234</v>
      </c>
      <c r="D545" s="94" t="s">
        <v>1086</v>
      </c>
      <c r="E545" s="258"/>
      <c r="F545" s="88">
        <f>0.255*10*4</f>
        <v>10.199999999999999</v>
      </c>
      <c r="G545" s="97">
        <v>4</v>
      </c>
      <c r="H545" s="144"/>
      <c r="J545" s="34"/>
      <c r="AQ545" s="123"/>
    </row>
    <row r="546" spans="1:43" s="122" customFormat="1" ht="13.8">
      <c r="A546" s="58" t="s">
        <v>732</v>
      </c>
      <c r="B546" s="44"/>
      <c r="C546" s="151" t="s">
        <v>184</v>
      </c>
      <c r="D546" s="94" t="s">
        <v>1017</v>
      </c>
      <c r="E546" s="258"/>
      <c r="F546" s="88">
        <f>0.255*25*2</f>
        <v>12.75</v>
      </c>
      <c r="G546" s="97">
        <v>2</v>
      </c>
      <c r="H546" s="144"/>
      <c r="J546" s="34"/>
      <c r="AQ546" s="123"/>
    </row>
    <row r="547" spans="1:43" s="122" customFormat="1" ht="13.8">
      <c r="A547" s="58" t="s">
        <v>734</v>
      </c>
      <c r="B547" s="44"/>
      <c r="C547" s="147"/>
      <c r="D547" s="94"/>
      <c r="E547" s="258"/>
      <c r="F547" s="88"/>
      <c r="G547" s="97"/>
      <c r="H547" s="144"/>
      <c r="J547" s="34"/>
      <c r="AQ547" s="123"/>
    </row>
    <row r="548" spans="1:43" s="122" customFormat="1" ht="13.8">
      <c r="A548" s="58" t="s">
        <v>736</v>
      </c>
      <c r="B548" s="44"/>
      <c r="C548" s="141" t="s">
        <v>962</v>
      </c>
      <c r="D548" s="143" t="s">
        <v>1088</v>
      </c>
      <c r="E548" s="258"/>
      <c r="F548" s="88"/>
      <c r="G548" s="97"/>
      <c r="H548" s="144"/>
      <c r="J548" s="34"/>
      <c r="AQ548" s="123"/>
    </row>
    <row r="549" spans="1:43" s="122" customFormat="1" ht="13.8">
      <c r="A549" s="58" t="s">
        <v>738</v>
      </c>
      <c r="B549" s="44"/>
      <c r="C549" s="151" t="s">
        <v>391</v>
      </c>
      <c r="D549" s="94" t="s">
        <v>1089</v>
      </c>
      <c r="E549" s="258"/>
      <c r="F549" s="88">
        <f>0.255*11*2</f>
        <v>5.61</v>
      </c>
      <c r="G549" s="97">
        <v>2</v>
      </c>
      <c r="H549" s="144"/>
      <c r="J549" s="34"/>
      <c r="AQ549" s="123"/>
    </row>
    <row r="550" spans="1:43" s="122" customFormat="1" ht="13.8">
      <c r="A550" s="58" t="s">
        <v>739</v>
      </c>
      <c r="B550" s="44"/>
      <c r="C550" s="151" t="s">
        <v>383</v>
      </c>
      <c r="D550" s="94" t="s">
        <v>1089</v>
      </c>
      <c r="E550" s="258"/>
      <c r="F550" s="88">
        <f>0.255*11*2</f>
        <v>5.61</v>
      </c>
      <c r="G550" s="97">
        <v>2</v>
      </c>
      <c r="H550" s="144"/>
      <c r="J550" s="34"/>
      <c r="AQ550" s="123"/>
    </row>
    <row r="551" spans="1:43" s="122" customFormat="1" ht="13.8">
      <c r="A551" s="58" t="s">
        <v>741</v>
      </c>
      <c r="B551" s="44"/>
      <c r="C551" s="151" t="s">
        <v>389</v>
      </c>
      <c r="D551" s="94" t="s">
        <v>1082</v>
      </c>
      <c r="E551" s="258"/>
      <c r="F551" s="88">
        <f>0.255*10*2</f>
        <v>5.0999999999999996</v>
      </c>
      <c r="G551" s="97">
        <v>2</v>
      </c>
      <c r="H551" s="144"/>
      <c r="J551" s="34"/>
      <c r="AQ551" s="123"/>
    </row>
    <row r="552" spans="1:43" s="122" customFormat="1" ht="13.8">
      <c r="A552" s="58" t="s">
        <v>742</v>
      </c>
      <c r="B552" s="44"/>
      <c r="C552" s="151" t="s">
        <v>349</v>
      </c>
      <c r="D552" s="129" t="s">
        <v>1090</v>
      </c>
      <c r="E552" s="258"/>
      <c r="F552" s="88">
        <f>0.185*20*1</f>
        <v>3.7</v>
      </c>
      <c r="G552" s="97">
        <v>1</v>
      </c>
      <c r="H552" s="144"/>
      <c r="J552" s="34"/>
      <c r="AQ552" s="123"/>
    </row>
    <row r="553" spans="1:43" s="122" customFormat="1" ht="13.8">
      <c r="A553" s="58" t="s">
        <v>743</v>
      </c>
      <c r="B553" s="44"/>
      <c r="C553" s="147"/>
      <c r="D553" s="94"/>
      <c r="E553" s="258"/>
      <c r="F553" s="88"/>
      <c r="G553" s="97"/>
      <c r="H553" s="144"/>
      <c r="J553" s="34"/>
      <c r="AQ553" s="123"/>
    </row>
    <row r="554" spans="1:43" s="122" customFormat="1" ht="13.8">
      <c r="A554" s="58" t="s">
        <v>745</v>
      </c>
      <c r="B554" s="44"/>
      <c r="C554" s="141" t="s">
        <v>962</v>
      </c>
      <c r="D554" s="143" t="s">
        <v>1091</v>
      </c>
      <c r="E554" s="258"/>
      <c r="F554" s="88"/>
      <c r="G554" s="97"/>
      <c r="H554" s="144"/>
      <c r="J554" s="34"/>
      <c r="AQ554" s="123"/>
    </row>
    <row r="555" spans="1:43" s="122" customFormat="1" ht="13.8">
      <c r="A555" s="58" t="s">
        <v>747</v>
      </c>
      <c r="B555" s="44"/>
      <c r="C555" s="151" t="s">
        <v>527</v>
      </c>
      <c r="D555" s="94" t="s">
        <v>989</v>
      </c>
      <c r="E555" s="258"/>
      <c r="F555" s="88">
        <f>0.255*20*1</f>
        <v>5.0999999999999996</v>
      </c>
      <c r="G555" s="97">
        <v>1</v>
      </c>
      <c r="H555" s="144"/>
      <c r="J555" s="34"/>
      <c r="AQ555" s="123"/>
    </row>
    <row r="556" spans="1:43" s="122" customFormat="1" ht="13.8">
      <c r="A556" s="58" t="s">
        <v>748</v>
      </c>
      <c r="B556" s="44"/>
      <c r="C556" s="151" t="s">
        <v>527</v>
      </c>
      <c r="D556" s="94" t="s">
        <v>259</v>
      </c>
      <c r="E556" s="258"/>
      <c r="F556" s="88">
        <f>0.255*15*1</f>
        <v>3.8250000000000002</v>
      </c>
      <c r="G556" s="97">
        <v>1</v>
      </c>
      <c r="H556" s="144"/>
      <c r="J556" s="34"/>
      <c r="AQ556" s="123"/>
    </row>
    <row r="557" spans="1:43" s="122" customFormat="1" ht="13.8">
      <c r="A557" s="58" t="s">
        <v>750</v>
      </c>
      <c r="B557" s="44"/>
      <c r="C557" s="151" t="s">
        <v>526</v>
      </c>
      <c r="D557" s="94" t="s">
        <v>1051</v>
      </c>
      <c r="E557" s="258"/>
      <c r="F557" s="88">
        <f>0.255*10*1</f>
        <v>2.5499999999999998</v>
      </c>
      <c r="G557" s="97">
        <v>1</v>
      </c>
      <c r="H557" s="144"/>
      <c r="J557" s="34"/>
      <c r="AQ557" s="123"/>
    </row>
    <row r="558" spans="1:43" s="122" customFormat="1" ht="13.8">
      <c r="A558" s="58" t="s">
        <v>752</v>
      </c>
      <c r="B558" s="44"/>
      <c r="C558" s="151" t="s">
        <v>526</v>
      </c>
      <c r="D558" s="94" t="s">
        <v>1092</v>
      </c>
      <c r="E558" s="258"/>
      <c r="F558" s="88">
        <f>0.255*14*3</f>
        <v>10.71</v>
      </c>
      <c r="G558" s="97">
        <v>3</v>
      </c>
      <c r="H558" s="144"/>
      <c r="J558" s="34"/>
      <c r="AQ558" s="123"/>
    </row>
    <row r="559" spans="1:43" s="122" customFormat="1" ht="13.8">
      <c r="A559" s="58" t="s">
        <v>753</v>
      </c>
      <c r="B559" s="44"/>
      <c r="C559" s="151" t="s">
        <v>495</v>
      </c>
      <c r="D559" s="94" t="s">
        <v>259</v>
      </c>
      <c r="E559" s="258"/>
      <c r="F559" s="88">
        <f>0.255*15*1</f>
        <v>3.8250000000000002</v>
      </c>
      <c r="G559" s="97">
        <v>1</v>
      </c>
      <c r="H559" s="144"/>
      <c r="J559" s="34"/>
      <c r="AQ559" s="123"/>
    </row>
    <row r="560" spans="1:43" s="122" customFormat="1" ht="13.8">
      <c r="A560" s="58" t="s">
        <v>754</v>
      </c>
      <c r="B560" s="44"/>
      <c r="C560" s="151" t="s">
        <v>494</v>
      </c>
      <c r="D560" s="94" t="s">
        <v>973</v>
      </c>
      <c r="E560" s="258"/>
      <c r="F560" s="88">
        <f>0.255*18*1</f>
        <v>4.59</v>
      </c>
      <c r="G560" s="97">
        <v>1</v>
      </c>
      <c r="H560" s="144"/>
      <c r="J560" s="34"/>
      <c r="AQ560" s="123"/>
    </row>
    <row r="561" spans="1:43" s="122" customFormat="1" ht="13.8">
      <c r="A561" s="58" t="s">
        <v>755</v>
      </c>
      <c r="B561" s="44"/>
      <c r="C561" s="151" t="s">
        <v>493</v>
      </c>
      <c r="D561" s="94" t="s">
        <v>973</v>
      </c>
      <c r="E561" s="258"/>
      <c r="F561" s="88">
        <f>0.255*18*1</f>
        <v>4.59</v>
      </c>
      <c r="G561" s="97">
        <v>1</v>
      </c>
      <c r="H561" s="144"/>
      <c r="J561" s="34"/>
      <c r="AQ561" s="123"/>
    </row>
    <row r="562" spans="1:43" s="122" customFormat="1" ht="13.8">
      <c r="A562" s="58" t="s">
        <v>756</v>
      </c>
      <c r="B562" s="44"/>
      <c r="C562" s="151" t="s">
        <v>492</v>
      </c>
      <c r="D562" s="94" t="s">
        <v>1082</v>
      </c>
      <c r="E562" s="258"/>
      <c r="F562" s="88">
        <f>0.255*10*2</f>
        <v>5.0999999999999996</v>
      </c>
      <c r="G562" s="97">
        <v>2</v>
      </c>
      <c r="H562" s="144"/>
      <c r="J562" s="34"/>
      <c r="AQ562" s="123"/>
    </row>
    <row r="563" spans="1:43" s="122" customFormat="1" ht="13.8">
      <c r="A563" s="58" t="s">
        <v>757</v>
      </c>
      <c r="B563" s="44"/>
      <c r="C563" s="151" t="s">
        <v>490</v>
      </c>
      <c r="D563" s="94" t="s">
        <v>1051</v>
      </c>
      <c r="E563" s="258"/>
      <c r="F563" s="88">
        <f>0.255*10*1</f>
        <v>2.5499999999999998</v>
      </c>
      <c r="G563" s="97">
        <v>1</v>
      </c>
      <c r="H563" s="144"/>
      <c r="J563" s="34"/>
      <c r="AQ563" s="123"/>
    </row>
    <row r="564" spans="1:43" s="122" customFormat="1" ht="13.8">
      <c r="A564" s="58" t="s">
        <v>759</v>
      </c>
      <c r="B564" s="44"/>
      <c r="C564" s="147"/>
      <c r="D564" s="94"/>
      <c r="E564" s="258"/>
      <c r="F564" s="88"/>
      <c r="G564" s="97"/>
      <c r="H564" s="144"/>
      <c r="J564" s="34"/>
      <c r="AQ564" s="123"/>
    </row>
    <row r="565" spans="1:43" s="122" customFormat="1" ht="13.8">
      <c r="A565" s="58" t="s">
        <v>760</v>
      </c>
      <c r="B565" s="44"/>
      <c r="C565" s="145"/>
      <c r="D565" s="140" t="s">
        <v>1093</v>
      </c>
      <c r="E565" s="258"/>
      <c r="F565" s="88"/>
      <c r="G565" s="97"/>
      <c r="H565" s="144"/>
      <c r="J565" s="34"/>
      <c r="AQ565" s="123"/>
    </row>
    <row r="566" spans="1:43" s="122" customFormat="1" ht="13.8">
      <c r="A566" s="58" t="s">
        <v>761</v>
      </c>
      <c r="B566" s="44"/>
      <c r="C566" s="145"/>
      <c r="D566" s="107" t="s">
        <v>1425</v>
      </c>
      <c r="E566" s="257" t="s">
        <v>41</v>
      </c>
      <c r="F566" s="98">
        <f>SUM(F568:F594)</f>
        <v>70.655000000000001</v>
      </c>
      <c r="G566" s="97"/>
      <c r="H566" s="144"/>
      <c r="J566" s="34"/>
      <c r="AQ566" s="123"/>
    </row>
    <row r="567" spans="1:43" s="122" customFormat="1" ht="13.8">
      <c r="A567" s="58" t="s">
        <v>763</v>
      </c>
      <c r="B567" s="44"/>
      <c r="C567" s="147"/>
      <c r="D567" s="94"/>
      <c r="E567" s="258"/>
      <c r="F567" s="48"/>
      <c r="G567" s="97"/>
      <c r="H567" s="144"/>
      <c r="J567" s="34"/>
      <c r="AQ567" s="123"/>
    </row>
    <row r="568" spans="1:43" s="122" customFormat="1" ht="13.8">
      <c r="A568" s="58" t="s">
        <v>765</v>
      </c>
      <c r="B568" s="44"/>
      <c r="C568" s="141" t="s">
        <v>962</v>
      </c>
      <c r="D568" s="143" t="s">
        <v>1094</v>
      </c>
      <c r="E568" s="258"/>
      <c r="F568" s="48"/>
      <c r="G568" s="97"/>
      <c r="H568" s="144"/>
      <c r="J568" s="34"/>
      <c r="AQ568" s="123"/>
    </row>
    <row r="569" spans="1:43" s="122" customFormat="1" ht="13.8">
      <c r="A569" s="58" t="s">
        <v>766</v>
      </c>
      <c r="B569" s="44"/>
      <c r="C569" s="151" t="s">
        <v>289</v>
      </c>
      <c r="D569" s="129" t="s">
        <v>989</v>
      </c>
      <c r="E569" s="258"/>
      <c r="F569" s="88">
        <f>0.255*20*1</f>
        <v>5.0999999999999996</v>
      </c>
      <c r="G569" s="97">
        <v>1</v>
      </c>
      <c r="H569" s="144"/>
      <c r="J569" s="34"/>
      <c r="AQ569" s="123"/>
    </row>
    <row r="570" spans="1:43" s="122" customFormat="1" ht="13.8">
      <c r="A570" s="58" t="s">
        <v>767</v>
      </c>
      <c r="B570" s="44"/>
      <c r="C570" s="151" t="s">
        <v>291</v>
      </c>
      <c r="D570" s="129" t="s">
        <v>250</v>
      </c>
      <c r="E570" s="258"/>
      <c r="F570" s="88">
        <f>0.255*14*1</f>
        <v>3.5700000000000003</v>
      </c>
      <c r="G570" s="97">
        <v>1</v>
      </c>
      <c r="H570" s="144"/>
      <c r="J570" s="34"/>
      <c r="AQ570" s="123"/>
    </row>
    <row r="571" spans="1:43" s="122" customFormat="1" ht="13.8">
      <c r="A571" s="58" t="s">
        <v>769</v>
      </c>
      <c r="B571" s="44"/>
      <c r="C571" s="151" t="s">
        <v>293</v>
      </c>
      <c r="D571" s="129" t="s">
        <v>973</v>
      </c>
      <c r="E571" s="258"/>
      <c r="F571" s="88">
        <f>0.255*18*1</f>
        <v>4.59</v>
      </c>
      <c r="G571" s="97">
        <v>1</v>
      </c>
      <c r="H571" s="144"/>
      <c r="J571" s="34"/>
      <c r="AQ571" s="123"/>
    </row>
    <row r="572" spans="1:43" s="122" customFormat="1" ht="13.8">
      <c r="A572" s="58" t="s">
        <v>771</v>
      </c>
      <c r="B572" s="44"/>
      <c r="C572" s="151" t="s">
        <v>296</v>
      </c>
      <c r="D572" s="129" t="s">
        <v>974</v>
      </c>
      <c r="E572" s="258"/>
      <c r="F572" s="88">
        <f>0.255*17*1</f>
        <v>4.335</v>
      </c>
      <c r="G572" s="97">
        <v>1</v>
      </c>
      <c r="H572" s="144"/>
      <c r="J572" s="34"/>
      <c r="AQ572" s="123"/>
    </row>
    <row r="573" spans="1:43" s="122" customFormat="1" ht="13.8">
      <c r="A573" s="58" t="s">
        <v>773</v>
      </c>
      <c r="B573" s="44"/>
      <c r="C573" s="151" t="s">
        <v>224</v>
      </c>
      <c r="D573" s="129" t="s">
        <v>974</v>
      </c>
      <c r="E573" s="258"/>
      <c r="F573" s="88">
        <f>0.255*17*1</f>
        <v>4.335</v>
      </c>
      <c r="G573" s="97">
        <v>1</v>
      </c>
      <c r="H573" s="144"/>
      <c r="J573" s="34"/>
      <c r="AQ573" s="123"/>
    </row>
    <row r="574" spans="1:43" s="122" customFormat="1" ht="13.8">
      <c r="A574" s="58" t="s">
        <v>774</v>
      </c>
      <c r="B574" s="44"/>
      <c r="C574" s="151" t="s">
        <v>301</v>
      </c>
      <c r="D574" s="129" t="s">
        <v>973</v>
      </c>
      <c r="E574" s="258"/>
      <c r="F574" s="88">
        <f>0.255*18*1</f>
        <v>4.59</v>
      </c>
      <c r="G574" s="97">
        <v>1</v>
      </c>
      <c r="H574" s="144"/>
      <c r="J574" s="34"/>
      <c r="AQ574" s="123"/>
    </row>
    <row r="575" spans="1:43" s="122" customFormat="1" ht="13.8">
      <c r="A575" s="58" t="s">
        <v>775</v>
      </c>
      <c r="B575" s="44"/>
      <c r="C575" s="147" t="s">
        <v>1096</v>
      </c>
      <c r="D575" s="94" t="s">
        <v>1095</v>
      </c>
      <c r="E575" s="258"/>
      <c r="F575" s="48"/>
      <c r="G575" s="97"/>
      <c r="H575" s="144"/>
      <c r="J575" s="34"/>
      <c r="AQ575" s="123"/>
    </row>
    <row r="576" spans="1:43" s="122" customFormat="1" ht="13.8">
      <c r="A576" s="58" t="s">
        <v>776</v>
      </c>
      <c r="B576" s="44"/>
      <c r="C576" s="147" t="s">
        <v>289</v>
      </c>
      <c r="D576" s="94" t="s">
        <v>1095</v>
      </c>
      <c r="E576" s="258"/>
      <c r="F576" s="48"/>
      <c r="G576" s="97"/>
      <c r="H576" s="144"/>
      <c r="J576" s="34"/>
      <c r="AQ576" s="123"/>
    </row>
    <row r="577" spans="1:43" s="122" customFormat="1" ht="13.8">
      <c r="A577" s="58" t="s">
        <v>777</v>
      </c>
      <c r="B577" s="44"/>
      <c r="C577" s="147"/>
      <c r="D577" s="94"/>
      <c r="E577" s="258"/>
      <c r="F577" s="88"/>
      <c r="G577" s="97"/>
      <c r="H577" s="144"/>
      <c r="J577" s="34"/>
      <c r="AQ577" s="123"/>
    </row>
    <row r="578" spans="1:43" s="122" customFormat="1" ht="13.8">
      <c r="A578" s="58" t="s">
        <v>778</v>
      </c>
      <c r="B578" s="44"/>
      <c r="C578" s="141" t="s">
        <v>962</v>
      </c>
      <c r="D578" s="153" t="s">
        <v>1426</v>
      </c>
      <c r="E578" s="257"/>
      <c r="F578" s="98"/>
      <c r="G578" s="97"/>
      <c r="H578" s="144"/>
      <c r="J578" s="34"/>
      <c r="AQ578" s="123"/>
    </row>
    <row r="579" spans="1:43" s="122" customFormat="1" ht="13.8">
      <c r="A579" s="58" t="s">
        <v>779</v>
      </c>
      <c r="B579" s="44"/>
      <c r="C579" s="141" t="s">
        <v>311</v>
      </c>
      <c r="D579" s="94" t="s">
        <v>968</v>
      </c>
      <c r="E579" s="258"/>
      <c r="F579" s="88">
        <f>0.205*10*1</f>
        <v>2.0499999999999998</v>
      </c>
      <c r="G579" s="97">
        <v>1</v>
      </c>
      <c r="H579" s="144"/>
      <c r="J579" s="34"/>
      <c r="AQ579" s="123"/>
    </row>
    <row r="580" spans="1:43" s="122" customFormat="1" ht="13.8">
      <c r="A580" s="58" t="s">
        <v>780</v>
      </c>
      <c r="B580" s="44"/>
      <c r="C580" s="141" t="s">
        <v>313</v>
      </c>
      <c r="D580" s="94" t="s">
        <v>968</v>
      </c>
      <c r="E580" s="258"/>
      <c r="F580" s="88">
        <f>0.205*10*1</f>
        <v>2.0499999999999998</v>
      </c>
      <c r="G580" s="97">
        <v>1</v>
      </c>
      <c r="H580" s="144"/>
      <c r="J580" s="34"/>
      <c r="AQ580" s="123"/>
    </row>
    <row r="581" spans="1:43" s="122" customFormat="1" ht="13.8">
      <c r="A581" s="58" t="s">
        <v>781</v>
      </c>
      <c r="B581" s="44"/>
      <c r="C581" s="151" t="s">
        <v>304</v>
      </c>
      <c r="D581" s="129" t="s">
        <v>248</v>
      </c>
      <c r="E581" s="258"/>
      <c r="F581" s="88">
        <f>0.255*12*1</f>
        <v>3.06</v>
      </c>
      <c r="G581" s="97">
        <v>1</v>
      </c>
      <c r="H581" s="144"/>
      <c r="J581" s="34"/>
      <c r="AQ581" s="123"/>
    </row>
    <row r="582" spans="1:43" s="122" customFormat="1" ht="13.8">
      <c r="A582" s="58" t="s">
        <v>783</v>
      </c>
      <c r="B582" s="44"/>
      <c r="C582" s="151" t="s">
        <v>304</v>
      </c>
      <c r="D582" s="129" t="s">
        <v>1097</v>
      </c>
      <c r="E582" s="258"/>
      <c r="F582" s="88">
        <f>0.255*17*2</f>
        <v>8.67</v>
      </c>
      <c r="G582" s="97">
        <v>2</v>
      </c>
      <c r="H582" s="144"/>
      <c r="J582" s="34"/>
      <c r="AQ582" s="123"/>
    </row>
    <row r="583" spans="1:43" s="122" customFormat="1" ht="13.8">
      <c r="A583" s="58" t="s">
        <v>786</v>
      </c>
      <c r="B583" s="44"/>
      <c r="C583" s="151" t="s">
        <v>304</v>
      </c>
      <c r="D583" s="129" t="s">
        <v>1098</v>
      </c>
      <c r="E583" s="258"/>
      <c r="F583" s="88">
        <f>0.255*12*1</f>
        <v>3.06</v>
      </c>
      <c r="G583" s="97">
        <v>1</v>
      </c>
      <c r="H583" s="144"/>
      <c r="J583" s="34"/>
      <c r="AQ583" s="123"/>
    </row>
    <row r="584" spans="1:43" s="122" customFormat="1" ht="13.8">
      <c r="A584" s="58" t="s">
        <v>788</v>
      </c>
      <c r="B584" s="44"/>
      <c r="C584" s="151" t="s">
        <v>307</v>
      </c>
      <c r="D584" s="129" t="s">
        <v>1098</v>
      </c>
      <c r="E584" s="258"/>
      <c r="F584" s="88">
        <f>0.255*12*1</f>
        <v>3.06</v>
      </c>
      <c r="G584" s="97">
        <v>1</v>
      </c>
      <c r="H584" s="144"/>
      <c r="J584" s="34"/>
      <c r="AQ584" s="123"/>
    </row>
    <row r="585" spans="1:43" s="122" customFormat="1" ht="13.8">
      <c r="A585" s="58" t="s">
        <v>790</v>
      </c>
      <c r="B585" s="44"/>
      <c r="C585" s="151" t="s">
        <v>309</v>
      </c>
      <c r="D585" s="129" t="s">
        <v>1098</v>
      </c>
      <c r="E585" s="258"/>
      <c r="F585" s="88">
        <f>0.255*12*1</f>
        <v>3.06</v>
      </c>
      <c r="G585" s="97">
        <v>1</v>
      </c>
      <c r="H585" s="144"/>
      <c r="J585" s="34"/>
      <c r="AQ585" s="123"/>
    </row>
    <row r="586" spans="1:43" s="122" customFormat="1" ht="13.8">
      <c r="A586" s="58" t="s">
        <v>792</v>
      </c>
      <c r="B586" s="44"/>
      <c r="C586" s="151" t="s">
        <v>304</v>
      </c>
      <c r="D586" s="129" t="s">
        <v>1098</v>
      </c>
      <c r="E586" s="258"/>
      <c r="F586" s="88">
        <f>0.255*12*1</f>
        <v>3.06</v>
      </c>
      <c r="G586" s="97">
        <v>1</v>
      </c>
      <c r="H586" s="144"/>
      <c r="J586" s="34"/>
      <c r="AQ586" s="123"/>
    </row>
    <row r="587" spans="1:43" s="122" customFormat="1" ht="13.8">
      <c r="A587" s="58" t="s">
        <v>944</v>
      </c>
      <c r="B587" s="44"/>
      <c r="C587" s="151" t="s">
        <v>1103</v>
      </c>
      <c r="D587" s="129" t="s">
        <v>1099</v>
      </c>
      <c r="E587" s="258"/>
      <c r="F587" s="88">
        <f>0.255*13*1</f>
        <v>3.3149999999999999</v>
      </c>
      <c r="G587" s="97">
        <v>1</v>
      </c>
      <c r="H587" s="144"/>
      <c r="J587" s="34"/>
      <c r="AQ587" s="123"/>
    </row>
    <row r="588" spans="1:43" s="122" customFormat="1" ht="13.8">
      <c r="A588" s="58" t="s">
        <v>793</v>
      </c>
      <c r="B588" s="44"/>
      <c r="C588" s="151" t="s">
        <v>309</v>
      </c>
      <c r="D588" s="129" t="s">
        <v>1098</v>
      </c>
      <c r="E588" s="258"/>
      <c r="F588" s="88">
        <f t="shared" ref="F588:F589" si="16">0.255*12*1</f>
        <v>3.06</v>
      </c>
      <c r="G588" s="97">
        <v>1</v>
      </c>
      <c r="H588" s="144"/>
      <c r="J588" s="34"/>
      <c r="AQ588" s="123"/>
    </row>
    <row r="589" spans="1:43" s="122" customFormat="1" ht="13.8">
      <c r="A589" s="58" t="s">
        <v>794</v>
      </c>
      <c r="B589" s="44"/>
      <c r="C589" s="151" t="s">
        <v>313</v>
      </c>
      <c r="D589" s="129" t="s">
        <v>1098</v>
      </c>
      <c r="E589" s="258"/>
      <c r="F589" s="88">
        <f t="shared" si="16"/>
        <v>3.06</v>
      </c>
      <c r="G589" s="97">
        <v>1</v>
      </c>
      <c r="H589" s="144"/>
      <c r="J589" s="34"/>
      <c r="AQ589" s="123"/>
    </row>
    <row r="590" spans="1:43" s="122" customFormat="1" ht="13.8">
      <c r="A590" s="58" t="s">
        <v>797</v>
      </c>
      <c r="B590" s="44"/>
      <c r="C590" s="151" t="s">
        <v>316</v>
      </c>
      <c r="D590" s="129" t="s">
        <v>1098</v>
      </c>
      <c r="E590" s="258"/>
      <c r="F590" s="88">
        <f>0.255*12*1</f>
        <v>3.06</v>
      </c>
      <c r="G590" s="97">
        <v>1</v>
      </c>
      <c r="H590" s="144"/>
      <c r="J590" s="34"/>
      <c r="AQ590" s="123"/>
    </row>
    <row r="591" spans="1:43" s="122" customFormat="1" ht="27.6">
      <c r="A591" s="58" t="s">
        <v>800</v>
      </c>
      <c r="B591" s="44"/>
      <c r="C591" s="147" t="s">
        <v>217</v>
      </c>
      <c r="D591" s="94" t="s">
        <v>1101</v>
      </c>
      <c r="E591" s="258"/>
      <c r="F591" s="88"/>
      <c r="G591" s="97"/>
      <c r="H591" s="144"/>
      <c r="J591" s="34"/>
      <c r="AQ591" s="123"/>
    </row>
    <row r="592" spans="1:43" s="122" customFormat="1" ht="27.6">
      <c r="A592" s="58" t="s">
        <v>801</v>
      </c>
      <c r="B592" s="44"/>
      <c r="C592" s="147" t="s">
        <v>289</v>
      </c>
      <c r="D592" s="94" t="s">
        <v>1101</v>
      </c>
      <c r="E592" s="258"/>
      <c r="F592" s="88"/>
      <c r="G592" s="97"/>
      <c r="H592" s="144"/>
      <c r="J592" s="34"/>
      <c r="AQ592" s="123"/>
    </row>
    <row r="593" spans="1:43" s="122" customFormat="1" ht="27.6">
      <c r="A593" s="58" t="s">
        <v>803</v>
      </c>
      <c r="B593" s="44"/>
      <c r="C593" s="147" t="s">
        <v>289</v>
      </c>
      <c r="D593" s="94" t="s">
        <v>1102</v>
      </c>
      <c r="E593" s="258"/>
      <c r="F593" s="88"/>
      <c r="G593" s="97"/>
      <c r="H593" s="144"/>
      <c r="J593" s="34"/>
      <c r="AQ593" s="123"/>
    </row>
    <row r="594" spans="1:43" s="122" customFormat="1" ht="13.8">
      <c r="A594" s="58" t="s">
        <v>805</v>
      </c>
      <c r="B594" s="44"/>
      <c r="C594" s="151" t="s">
        <v>318</v>
      </c>
      <c r="D594" s="129" t="s">
        <v>1100</v>
      </c>
      <c r="E594" s="258"/>
      <c r="F594" s="88">
        <f>0.255*14*1</f>
        <v>3.5700000000000003</v>
      </c>
      <c r="G594" s="97">
        <v>1</v>
      </c>
      <c r="H594" s="144"/>
      <c r="J594" s="34"/>
      <c r="AQ594" s="123"/>
    </row>
    <row r="595" spans="1:43" s="122" customFormat="1" ht="13.8">
      <c r="A595" s="58" t="s">
        <v>807</v>
      </c>
      <c r="B595" s="44"/>
      <c r="C595" s="151"/>
      <c r="D595" s="129"/>
      <c r="E595" s="258"/>
      <c r="F595" s="48"/>
      <c r="G595" s="97"/>
      <c r="H595" s="144"/>
      <c r="J595" s="34"/>
      <c r="AQ595" s="123"/>
    </row>
    <row r="596" spans="1:43" s="122" customFormat="1" ht="41.4">
      <c r="A596" s="58" t="s">
        <v>809</v>
      </c>
      <c r="B596" s="154" t="s">
        <v>1126</v>
      </c>
      <c r="C596" s="151"/>
      <c r="D596" s="129" t="s">
        <v>1427</v>
      </c>
      <c r="E596" s="260" t="s">
        <v>41</v>
      </c>
      <c r="F596" s="88">
        <f>0.255*10*1</f>
        <v>2.5499999999999998</v>
      </c>
      <c r="G596" s="49"/>
      <c r="H596" s="50">
        <f t="shared" ref="H596:H597" si="17">ROUND((F596*G596),2)</f>
        <v>0</v>
      </c>
      <c r="J596" s="34"/>
      <c r="AQ596" s="123"/>
    </row>
    <row r="597" spans="1:43" s="122" customFormat="1" ht="27.6">
      <c r="A597" s="58" t="s">
        <v>810</v>
      </c>
      <c r="B597" s="44" t="s">
        <v>1135</v>
      </c>
      <c r="C597" s="151"/>
      <c r="D597" s="129" t="s">
        <v>1136</v>
      </c>
      <c r="E597" s="260" t="s">
        <v>91</v>
      </c>
      <c r="F597" s="127">
        <v>2</v>
      </c>
      <c r="G597" s="49"/>
      <c r="H597" s="50">
        <f t="shared" si="17"/>
        <v>0</v>
      </c>
      <c r="J597" s="34"/>
      <c r="AQ597" s="123"/>
    </row>
    <row r="598" spans="1:43" s="122" customFormat="1" ht="13.8">
      <c r="A598" s="58" t="s">
        <v>812</v>
      </c>
      <c r="B598" s="44"/>
      <c r="C598" s="147"/>
      <c r="D598" s="94"/>
      <c r="E598" s="258"/>
      <c r="F598" s="88"/>
      <c r="G598" s="97"/>
      <c r="H598" s="144"/>
      <c r="J598" s="34"/>
      <c r="AQ598" s="123"/>
    </row>
    <row r="599" spans="1:43">
      <c r="A599" s="58" t="s">
        <v>814</v>
      </c>
      <c r="B599" s="44"/>
      <c r="C599" s="45"/>
      <c r="D599" s="129"/>
      <c r="E599" s="257"/>
      <c r="F599" s="88"/>
      <c r="G599" s="97"/>
      <c r="H599" s="89"/>
      <c r="J599" s="156"/>
      <c r="AQ599" s="36"/>
    </row>
    <row r="600" spans="1:43" ht="13.8">
      <c r="A600" s="58" t="s">
        <v>815</v>
      </c>
      <c r="B600" s="26" t="s">
        <v>670</v>
      </c>
      <c r="D600" s="157" t="s">
        <v>671</v>
      </c>
      <c r="E600" s="261" t="s">
        <v>672</v>
      </c>
      <c r="F600" s="37" t="s">
        <v>38</v>
      </c>
      <c r="H600" s="20">
        <f>SUM(H601:H760)</f>
        <v>0</v>
      </c>
      <c r="I600" s="35"/>
      <c r="J600" s="156"/>
    </row>
    <row r="601" spans="1:43" ht="12">
      <c r="A601" s="58" t="s">
        <v>817</v>
      </c>
      <c r="D601" s="28"/>
      <c r="E601" s="261"/>
      <c r="F601" s="37"/>
      <c r="G601" s="21"/>
      <c r="H601" s="20"/>
      <c r="I601" s="35"/>
      <c r="J601" s="156"/>
    </row>
    <row r="602" spans="1:43" ht="12">
      <c r="A602" s="58" t="s">
        <v>820</v>
      </c>
      <c r="B602" s="26" t="s">
        <v>675</v>
      </c>
      <c r="D602" s="28" t="s">
        <v>676</v>
      </c>
      <c r="E602" s="261"/>
      <c r="F602" s="159"/>
      <c r="G602" s="21"/>
      <c r="H602" s="20"/>
      <c r="I602" s="35"/>
      <c r="J602" s="156"/>
    </row>
    <row r="603" spans="1:43" ht="36">
      <c r="A603" s="58" t="s">
        <v>821</v>
      </c>
      <c r="B603" s="26" t="s">
        <v>678</v>
      </c>
      <c r="D603" s="160" t="s">
        <v>679</v>
      </c>
      <c r="E603" s="262" t="s">
        <v>91</v>
      </c>
      <c r="F603" s="31">
        <v>1</v>
      </c>
      <c r="G603" s="49"/>
      <c r="H603" s="50">
        <f t="shared" ref="H603:H605" si="18">ROUND((F603*G603),2)</f>
        <v>0</v>
      </c>
      <c r="I603" s="35"/>
      <c r="J603" s="156"/>
    </row>
    <row r="604" spans="1:43" ht="24">
      <c r="A604" s="58" t="s">
        <v>822</v>
      </c>
      <c r="B604" s="26" t="s">
        <v>958</v>
      </c>
      <c r="D604" s="86" t="s">
        <v>1134</v>
      </c>
      <c r="E604" s="170" t="s">
        <v>91</v>
      </c>
      <c r="F604" s="31">
        <v>1</v>
      </c>
      <c r="G604" s="163"/>
      <c r="H604" s="50">
        <f t="shared" si="18"/>
        <v>0</v>
      </c>
      <c r="I604" s="35"/>
      <c r="J604" s="164"/>
    </row>
    <row r="605" spans="1:43" ht="24">
      <c r="A605" s="58" t="s">
        <v>823</v>
      </c>
      <c r="B605" s="26">
        <v>998735203</v>
      </c>
      <c r="D605" s="86" t="s">
        <v>682</v>
      </c>
      <c r="E605" s="170" t="s">
        <v>672</v>
      </c>
      <c r="F605" s="165">
        <v>2.3900000000000001E-2</v>
      </c>
      <c r="G605" s="31">
        <f>H603+H604</f>
        <v>0</v>
      </c>
      <c r="H605" s="50">
        <f t="shared" si="18"/>
        <v>0</v>
      </c>
      <c r="I605" s="35"/>
      <c r="J605" s="164"/>
    </row>
    <row r="606" spans="1:43" ht="12">
      <c r="A606" s="58" t="s">
        <v>825</v>
      </c>
      <c r="D606" s="86"/>
      <c r="E606" s="170"/>
      <c r="F606" s="166"/>
      <c r="G606" s="167"/>
      <c r="H606" s="168"/>
      <c r="I606" s="35"/>
      <c r="J606" s="164"/>
    </row>
    <row r="607" spans="1:43" ht="12">
      <c r="A607" s="58" t="s">
        <v>828</v>
      </c>
      <c r="D607" s="86"/>
      <c r="E607" s="170"/>
      <c r="F607" s="166"/>
      <c r="G607" s="167"/>
      <c r="H607" s="168"/>
      <c r="I607" s="35"/>
      <c r="J607" s="164"/>
    </row>
    <row r="608" spans="1:43" ht="12">
      <c r="A608" s="58" t="s">
        <v>830</v>
      </c>
      <c r="D608" s="169" t="s">
        <v>686</v>
      </c>
      <c r="E608" s="261"/>
      <c r="F608" s="159"/>
      <c r="G608" s="21"/>
      <c r="H608" s="20"/>
      <c r="I608" s="35"/>
      <c r="J608" s="164"/>
    </row>
    <row r="609" spans="1:10" ht="24">
      <c r="A609" s="58" t="s">
        <v>832</v>
      </c>
      <c r="B609" s="26">
        <v>735110911</v>
      </c>
      <c r="D609" s="86" t="s">
        <v>1314</v>
      </c>
      <c r="E609" s="170" t="s">
        <v>91</v>
      </c>
      <c r="F609" s="166">
        <f>410*4</f>
        <v>1640</v>
      </c>
      <c r="G609" s="167"/>
      <c r="H609" s="50">
        <f t="shared" ref="H609:H615" si="19">ROUND((F609*G609),2)</f>
        <v>0</v>
      </c>
      <c r="I609" s="35"/>
      <c r="J609" s="164"/>
    </row>
    <row r="610" spans="1:10" ht="24">
      <c r="A610" s="58" t="s">
        <v>833</v>
      </c>
      <c r="B610" s="26">
        <v>735110912</v>
      </c>
      <c r="D610" s="86" t="s">
        <v>1315</v>
      </c>
      <c r="E610" s="170" t="s">
        <v>91</v>
      </c>
      <c r="F610" s="30">
        <v>82</v>
      </c>
      <c r="G610" s="167"/>
      <c r="H610" s="50">
        <f t="shared" si="19"/>
        <v>0</v>
      </c>
      <c r="I610" s="35"/>
      <c r="J610" s="164"/>
    </row>
    <row r="611" spans="1:10" ht="12">
      <c r="A611" s="58" t="s">
        <v>835</v>
      </c>
      <c r="B611" s="26">
        <v>735110914</v>
      </c>
      <c r="D611" s="86" t="s">
        <v>1316</v>
      </c>
      <c r="E611" s="170" t="s">
        <v>91</v>
      </c>
      <c r="F611" s="30">
        <v>82</v>
      </c>
      <c r="G611" s="167"/>
      <c r="H611" s="50">
        <f t="shared" si="19"/>
        <v>0</v>
      </c>
      <c r="I611" s="35"/>
      <c r="J611" s="164"/>
    </row>
    <row r="612" spans="1:10" ht="24">
      <c r="A612" s="58" t="s">
        <v>837</v>
      </c>
      <c r="B612" s="26">
        <v>735191905</v>
      </c>
      <c r="D612" s="86" t="s">
        <v>1323</v>
      </c>
      <c r="E612" s="170" t="s">
        <v>91</v>
      </c>
      <c r="F612" s="159">
        <v>504</v>
      </c>
      <c r="G612" s="167"/>
      <c r="H612" s="50">
        <f t="shared" si="19"/>
        <v>0</v>
      </c>
      <c r="I612" s="35"/>
      <c r="J612" s="35"/>
    </row>
    <row r="613" spans="1:10" ht="36">
      <c r="A613" s="58" t="s">
        <v>839</v>
      </c>
      <c r="B613" s="26" t="s">
        <v>692</v>
      </c>
      <c r="D613" s="86" t="s">
        <v>1327</v>
      </c>
      <c r="E613" s="170" t="s">
        <v>168</v>
      </c>
      <c r="F613" s="30">
        <f>410*0.1*2</f>
        <v>82</v>
      </c>
      <c r="G613" s="167"/>
      <c r="H613" s="50">
        <f t="shared" si="19"/>
        <v>0</v>
      </c>
      <c r="I613" s="35"/>
      <c r="J613" s="35"/>
    </row>
    <row r="614" spans="1:10" ht="36">
      <c r="A614" s="58" t="s">
        <v>840</v>
      </c>
      <c r="B614" s="26" t="s">
        <v>694</v>
      </c>
      <c r="D614" s="86" t="s">
        <v>1151</v>
      </c>
      <c r="E614" s="170" t="s">
        <v>41</v>
      </c>
      <c r="F614" s="171">
        <v>3</v>
      </c>
      <c r="G614" s="163"/>
      <c r="H614" s="50">
        <f t="shared" si="19"/>
        <v>0</v>
      </c>
      <c r="I614" s="35"/>
      <c r="J614" s="164"/>
    </row>
    <row r="615" spans="1:10" ht="24">
      <c r="A615" s="58" t="s">
        <v>841</v>
      </c>
      <c r="B615" s="26">
        <v>998735203</v>
      </c>
      <c r="D615" s="86" t="s">
        <v>682</v>
      </c>
      <c r="E615" s="170" t="s">
        <v>672</v>
      </c>
      <c r="F615" s="166">
        <v>2.3900000000000001E-2</v>
      </c>
      <c r="G615" s="31">
        <f>SUM(H609:H614)</f>
        <v>0</v>
      </c>
      <c r="H615" s="50">
        <f t="shared" si="19"/>
        <v>0</v>
      </c>
      <c r="I615" s="35"/>
      <c r="J615" s="164"/>
    </row>
    <row r="616" spans="1:10" ht="12">
      <c r="A616" s="58" t="s">
        <v>842</v>
      </c>
      <c r="B616" s="27"/>
      <c r="D616" s="172"/>
      <c r="E616" s="180"/>
      <c r="F616" s="159"/>
      <c r="G616" s="163"/>
      <c r="H616" s="174"/>
      <c r="I616" s="35"/>
      <c r="J616" s="164"/>
    </row>
    <row r="617" spans="1:10" ht="12">
      <c r="A617" s="58" t="s">
        <v>843</v>
      </c>
      <c r="B617" s="27" t="s">
        <v>698</v>
      </c>
      <c r="D617" s="173" t="s">
        <v>699</v>
      </c>
      <c r="E617" s="261"/>
      <c r="F617" s="159"/>
      <c r="G617" s="163"/>
      <c r="H617" s="174"/>
      <c r="I617" s="35"/>
      <c r="J617" s="164"/>
    </row>
    <row r="618" spans="1:10" ht="24">
      <c r="A618" s="58" t="s">
        <v>844</v>
      </c>
      <c r="B618" s="27" t="s">
        <v>701</v>
      </c>
      <c r="D618" s="175" t="s">
        <v>702</v>
      </c>
      <c r="E618" s="43" t="s">
        <v>168</v>
      </c>
      <c r="F618" s="159">
        <v>12</v>
      </c>
      <c r="G618" s="163"/>
      <c r="H618" s="50">
        <f t="shared" ref="H618:H631" si="20">ROUND((F618*G618),2)</f>
        <v>0</v>
      </c>
      <c r="I618" s="35"/>
      <c r="J618" s="164"/>
    </row>
    <row r="619" spans="1:10" ht="24">
      <c r="A619" s="58" t="s">
        <v>845</v>
      </c>
      <c r="B619" s="27" t="s">
        <v>701</v>
      </c>
      <c r="D619" s="175" t="s">
        <v>704</v>
      </c>
      <c r="E619" s="43" t="s">
        <v>168</v>
      </c>
      <c r="F619" s="159">
        <v>12</v>
      </c>
      <c r="G619" s="163"/>
      <c r="H619" s="50">
        <f t="shared" si="20"/>
        <v>0</v>
      </c>
      <c r="I619" s="35"/>
      <c r="J619" s="164"/>
    </row>
    <row r="620" spans="1:10" ht="24">
      <c r="A620" s="58" t="s">
        <v>846</v>
      </c>
      <c r="B620" s="27" t="s">
        <v>706</v>
      </c>
      <c r="D620" s="175" t="s">
        <v>707</v>
      </c>
      <c r="E620" s="43" t="s">
        <v>168</v>
      </c>
      <c r="F620" s="159">
        <v>6</v>
      </c>
      <c r="G620" s="163"/>
      <c r="H620" s="50">
        <f t="shared" si="20"/>
        <v>0</v>
      </c>
      <c r="I620" s="35"/>
      <c r="J620" s="164"/>
    </row>
    <row r="621" spans="1:10" ht="24">
      <c r="A621" s="58" t="s">
        <v>847</v>
      </c>
      <c r="B621" s="27" t="s">
        <v>706</v>
      </c>
      <c r="D621" s="175" t="s">
        <v>709</v>
      </c>
      <c r="E621" s="43" t="s">
        <v>168</v>
      </c>
      <c r="F621" s="159">
        <v>6</v>
      </c>
      <c r="G621" s="163"/>
      <c r="H621" s="50">
        <f t="shared" si="20"/>
        <v>0</v>
      </c>
      <c r="I621" s="35"/>
      <c r="J621" s="164"/>
    </row>
    <row r="622" spans="1:10" ht="24">
      <c r="A622" s="58" t="s">
        <v>848</v>
      </c>
      <c r="B622" s="27" t="s">
        <v>706</v>
      </c>
      <c r="D622" s="175" t="s">
        <v>711</v>
      </c>
      <c r="E622" s="43" t="s">
        <v>168</v>
      </c>
      <c r="F622" s="159">
        <v>6</v>
      </c>
      <c r="G622" s="163"/>
      <c r="H622" s="50">
        <f t="shared" si="20"/>
        <v>0</v>
      </c>
      <c r="I622" s="35"/>
      <c r="J622" s="164"/>
    </row>
    <row r="623" spans="1:10" ht="12">
      <c r="A623" s="58" t="s">
        <v>849</v>
      </c>
      <c r="B623" s="27"/>
      <c r="D623" s="175"/>
      <c r="E623" s="43"/>
      <c r="F623" s="159"/>
      <c r="G623" s="163"/>
      <c r="H623" s="168"/>
      <c r="I623" s="35"/>
      <c r="J623" s="164"/>
    </row>
    <row r="624" spans="1:10" ht="24">
      <c r="A624" s="58" t="s">
        <v>850</v>
      </c>
      <c r="B624" s="27" t="s">
        <v>714</v>
      </c>
      <c r="D624" s="175" t="s">
        <v>702</v>
      </c>
      <c r="E624" s="43" t="s">
        <v>168</v>
      </c>
      <c r="F624" s="159">
        <v>12</v>
      </c>
      <c r="G624" s="163"/>
      <c r="H624" s="50">
        <f t="shared" si="20"/>
        <v>0</v>
      </c>
      <c r="I624" s="35"/>
      <c r="J624" s="164"/>
    </row>
    <row r="625" spans="1:10" ht="24">
      <c r="A625" s="58" t="s">
        <v>851</v>
      </c>
      <c r="B625" s="27" t="s">
        <v>716</v>
      </c>
      <c r="D625" s="175" t="s">
        <v>704</v>
      </c>
      <c r="E625" s="43" t="s">
        <v>168</v>
      </c>
      <c r="F625" s="159">
        <v>12</v>
      </c>
      <c r="G625" s="163"/>
      <c r="H625" s="50">
        <f t="shared" si="20"/>
        <v>0</v>
      </c>
      <c r="I625" s="35"/>
      <c r="J625" s="164"/>
    </row>
    <row r="626" spans="1:10" ht="24">
      <c r="A626" s="58" t="s">
        <v>853</v>
      </c>
      <c r="B626" s="27" t="s">
        <v>718</v>
      </c>
      <c r="D626" s="175" t="s">
        <v>707</v>
      </c>
      <c r="E626" s="43" t="s">
        <v>168</v>
      </c>
      <c r="F626" s="159">
        <v>6</v>
      </c>
      <c r="G626" s="163"/>
      <c r="H626" s="50">
        <f t="shared" si="20"/>
        <v>0</v>
      </c>
      <c r="I626" s="35"/>
      <c r="J626" s="164"/>
    </row>
    <row r="627" spans="1:10" ht="24">
      <c r="A627" s="58" t="s">
        <v>855</v>
      </c>
      <c r="B627" s="27" t="s">
        <v>720</v>
      </c>
      <c r="D627" s="175" t="s">
        <v>709</v>
      </c>
      <c r="E627" s="43" t="s">
        <v>168</v>
      </c>
      <c r="F627" s="159">
        <v>6</v>
      </c>
      <c r="G627" s="163"/>
      <c r="H627" s="50">
        <f t="shared" si="20"/>
        <v>0</v>
      </c>
      <c r="I627" s="35"/>
      <c r="J627" s="164"/>
    </row>
    <row r="628" spans="1:10" ht="24">
      <c r="A628" s="58" t="s">
        <v>856</v>
      </c>
      <c r="B628" s="27" t="s">
        <v>722</v>
      </c>
      <c r="D628" s="175" t="s">
        <v>711</v>
      </c>
      <c r="E628" s="43" t="s">
        <v>168</v>
      </c>
      <c r="F628" s="159">
        <v>6</v>
      </c>
      <c r="G628" s="163"/>
      <c r="H628" s="50">
        <f t="shared" si="20"/>
        <v>0</v>
      </c>
      <c r="I628" s="35"/>
      <c r="J628" s="164"/>
    </row>
    <row r="629" spans="1:10" ht="12">
      <c r="A629" s="58" t="s">
        <v>860</v>
      </c>
      <c r="B629" s="27" t="s">
        <v>959</v>
      </c>
      <c r="D629" s="176" t="s">
        <v>724</v>
      </c>
      <c r="E629" s="43" t="s">
        <v>168</v>
      </c>
      <c r="F629" s="159">
        <f>SUM(F624:F628)</f>
        <v>42</v>
      </c>
      <c r="G629" s="163"/>
      <c r="H629" s="50">
        <f t="shared" si="20"/>
        <v>0</v>
      </c>
      <c r="I629" s="35"/>
      <c r="J629" s="164"/>
    </row>
    <row r="630" spans="1:10" ht="24">
      <c r="A630" s="58" t="s">
        <v>863</v>
      </c>
      <c r="B630" s="27" t="s">
        <v>726</v>
      </c>
      <c r="D630" s="175" t="s">
        <v>1153</v>
      </c>
      <c r="E630" s="170" t="s">
        <v>91</v>
      </c>
      <c r="F630" s="159">
        <f>410*2</f>
        <v>820</v>
      </c>
      <c r="G630" s="163"/>
      <c r="H630" s="50">
        <f t="shared" si="20"/>
        <v>0</v>
      </c>
      <c r="I630" s="35"/>
      <c r="J630" s="164"/>
    </row>
    <row r="631" spans="1:10" ht="24">
      <c r="A631" s="58" t="s">
        <v>864</v>
      </c>
      <c r="B631" s="27" t="s">
        <v>728</v>
      </c>
      <c r="D631" s="176" t="s">
        <v>1119</v>
      </c>
      <c r="E631" s="43" t="s">
        <v>6</v>
      </c>
      <c r="F631" s="159">
        <v>3.6700000000000003E-2</v>
      </c>
      <c r="G631" s="167">
        <f>SUM(H618:H630)</f>
        <v>0</v>
      </c>
      <c r="H631" s="50">
        <f t="shared" si="20"/>
        <v>0</v>
      </c>
      <c r="I631" s="35"/>
      <c r="J631" s="164"/>
    </row>
    <row r="632" spans="1:10" ht="12">
      <c r="A632" s="58" t="s">
        <v>866</v>
      </c>
      <c r="B632" s="27"/>
      <c r="D632" s="66"/>
      <c r="E632" s="262"/>
      <c r="F632" s="177"/>
      <c r="H632" s="168"/>
      <c r="I632" s="35"/>
      <c r="J632" s="164"/>
    </row>
    <row r="633" spans="1:10" ht="12">
      <c r="A633" s="58" t="s">
        <v>867</v>
      </c>
      <c r="B633" s="27"/>
      <c r="D633" s="173" t="s">
        <v>731</v>
      </c>
      <c r="E633" s="262" t="s">
        <v>672</v>
      </c>
      <c r="F633" s="159"/>
      <c r="H633" s="178"/>
      <c r="I633" s="35"/>
      <c r="J633" s="164"/>
    </row>
    <row r="634" spans="1:10" ht="36">
      <c r="A634" s="58" t="s">
        <v>868</v>
      </c>
      <c r="B634" s="27"/>
      <c r="D634" s="172" t="s">
        <v>1428</v>
      </c>
      <c r="E634" s="179" t="s">
        <v>1120</v>
      </c>
      <c r="F634" s="165">
        <f>SUM(F636:F660)</f>
        <v>57</v>
      </c>
      <c r="H634" s="178"/>
      <c r="I634" s="35"/>
      <c r="J634" s="164"/>
    </row>
    <row r="635" spans="1:10" ht="12">
      <c r="A635" s="58" t="s">
        <v>870</v>
      </c>
      <c r="B635" s="27"/>
      <c r="D635" s="180" t="s">
        <v>1110</v>
      </c>
      <c r="E635" s="262"/>
      <c r="F635" s="181"/>
      <c r="H635" s="178"/>
      <c r="I635" s="35"/>
      <c r="J635" s="164"/>
    </row>
    <row r="636" spans="1:10" ht="12">
      <c r="A636" s="58" t="s">
        <v>871</v>
      </c>
      <c r="B636" s="27" t="s">
        <v>701</v>
      </c>
      <c r="D636" s="182" t="s">
        <v>746</v>
      </c>
      <c r="E636" s="262"/>
      <c r="F636" s="183">
        <v>9</v>
      </c>
      <c r="H636" s="50">
        <f t="shared" ref="H636:H637" si="21">ROUND((F636*G636),2)</f>
        <v>0</v>
      </c>
      <c r="I636" s="35"/>
      <c r="J636" s="164"/>
    </row>
    <row r="637" spans="1:10" ht="12">
      <c r="A637" s="58" t="s">
        <v>873</v>
      </c>
      <c r="B637" s="27" t="s">
        <v>701</v>
      </c>
      <c r="D637" s="184" t="s">
        <v>1113</v>
      </c>
      <c r="E637" s="262"/>
      <c r="F637" s="185">
        <v>1</v>
      </c>
      <c r="H637" s="50">
        <f t="shared" si="21"/>
        <v>0</v>
      </c>
      <c r="I637" s="35"/>
      <c r="J637" s="164"/>
    </row>
    <row r="638" spans="1:10" ht="12">
      <c r="A638" s="58" t="s">
        <v>875</v>
      </c>
      <c r="B638" s="27"/>
      <c r="D638" s="173" t="s">
        <v>1111</v>
      </c>
      <c r="E638" s="262"/>
      <c r="F638" s="181"/>
      <c r="H638" s="168"/>
      <c r="I638" s="35"/>
      <c r="J638" s="164"/>
    </row>
    <row r="639" spans="1:10" ht="12">
      <c r="A639" s="58" t="s">
        <v>877</v>
      </c>
      <c r="B639" s="27" t="s">
        <v>701</v>
      </c>
      <c r="D639" s="182" t="s">
        <v>746</v>
      </c>
      <c r="E639" s="262"/>
      <c r="F639" s="183">
        <v>8</v>
      </c>
      <c r="H639" s="50">
        <f t="shared" ref="H639:H640" si="22">ROUND((F639*G639),2)</f>
        <v>0</v>
      </c>
      <c r="I639" s="35"/>
      <c r="J639" s="164"/>
    </row>
    <row r="640" spans="1:10" ht="12">
      <c r="A640" s="58" t="s">
        <v>879</v>
      </c>
      <c r="B640" s="27" t="s">
        <v>701</v>
      </c>
      <c r="D640" s="184" t="s">
        <v>1113</v>
      </c>
      <c r="E640" s="263"/>
      <c r="F640" s="185">
        <v>1</v>
      </c>
      <c r="H640" s="50">
        <f t="shared" si="22"/>
        <v>0</v>
      </c>
      <c r="I640" s="35"/>
      <c r="J640" s="164"/>
    </row>
    <row r="641" spans="1:10" ht="12">
      <c r="A641" s="58" t="s">
        <v>880</v>
      </c>
      <c r="B641" s="27"/>
      <c r="D641" s="173" t="s">
        <v>1112</v>
      </c>
      <c r="E641" s="262"/>
      <c r="F641" s="181"/>
      <c r="H641" s="168"/>
      <c r="I641" s="35"/>
      <c r="J641" s="164"/>
    </row>
    <row r="642" spans="1:10" ht="12">
      <c r="A642" s="58" t="s">
        <v>883</v>
      </c>
      <c r="B642" s="27" t="s">
        <v>701</v>
      </c>
      <c r="D642" s="173" t="s">
        <v>735</v>
      </c>
      <c r="E642" s="262"/>
      <c r="F642" s="181">
        <v>3</v>
      </c>
      <c r="H642" s="50">
        <f t="shared" ref="H642:H644" si="23">ROUND((F642*G642),2)</f>
        <v>0</v>
      </c>
      <c r="I642" s="35"/>
      <c r="J642" s="164"/>
    </row>
    <row r="643" spans="1:10" ht="12">
      <c r="A643" s="58" t="s">
        <v>886</v>
      </c>
      <c r="B643" s="27" t="s">
        <v>701</v>
      </c>
      <c r="D643" s="173" t="s">
        <v>737</v>
      </c>
      <c r="E643" s="262"/>
      <c r="F643" s="181">
        <v>3</v>
      </c>
      <c r="H643" s="50">
        <f t="shared" si="23"/>
        <v>0</v>
      </c>
      <c r="I643" s="35"/>
      <c r="J643" s="164"/>
    </row>
    <row r="644" spans="1:10" ht="12">
      <c r="A644" s="58" t="s">
        <v>887</v>
      </c>
      <c r="B644" s="27" t="s">
        <v>701</v>
      </c>
      <c r="D644" s="182" t="s">
        <v>746</v>
      </c>
      <c r="E644" s="264"/>
      <c r="F644" s="183">
        <v>1</v>
      </c>
      <c r="H644" s="50">
        <f t="shared" si="23"/>
        <v>0</v>
      </c>
      <c r="I644" s="35"/>
      <c r="J644" s="164"/>
    </row>
    <row r="645" spans="1:10" ht="12">
      <c r="A645" s="58" t="s">
        <v>888</v>
      </c>
      <c r="B645" s="27"/>
      <c r="D645" s="173" t="s">
        <v>1114</v>
      </c>
      <c r="E645" s="262"/>
      <c r="F645" s="181"/>
      <c r="H645" s="168"/>
      <c r="I645" s="35"/>
      <c r="J645" s="164"/>
    </row>
    <row r="646" spans="1:10" ht="12">
      <c r="A646" s="58" t="s">
        <v>890</v>
      </c>
      <c r="B646" s="27" t="s">
        <v>701</v>
      </c>
      <c r="D646" s="173" t="s">
        <v>735</v>
      </c>
      <c r="E646" s="262"/>
      <c r="F646" s="181">
        <v>11</v>
      </c>
      <c r="H646" s="50">
        <f t="shared" ref="H646:H647" si="24">ROUND((F646*G646),2)</f>
        <v>0</v>
      </c>
      <c r="I646" s="35"/>
      <c r="J646" s="164"/>
    </row>
    <row r="647" spans="1:10" ht="12">
      <c r="A647" s="58" t="s">
        <v>892</v>
      </c>
      <c r="B647" s="27" t="s">
        <v>701</v>
      </c>
      <c r="D647" s="173" t="s">
        <v>737</v>
      </c>
      <c r="E647" s="262"/>
      <c r="F647" s="181">
        <v>1</v>
      </c>
      <c r="H647" s="50">
        <f t="shared" si="24"/>
        <v>0</v>
      </c>
      <c r="I647" s="35"/>
      <c r="J647" s="164"/>
    </row>
    <row r="648" spans="1:10" ht="12">
      <c r="A648" s="58" t="s">
        <v>895</v>
      </c>
      <c r="B648" s="27"/>
      <c r="D648" s="173" t="s">
        <v>1115</v>
      </c>
      <c r="E648" s="262"/>
      <c r="F648" s="181"/>
      <c r="H648" s="168"/>
      <c r="I648" s="35"/>
      <c r="J648" s="164"/>
    </row>
    <row r="649" spans="1:10" ht="12">
      <c r="A649" s="58" t="s">
        <v>898</v>
      </c>
      <c r="B649" s="27" t="s">
        <v>701</v>
      </c>
      <c r="D649" s="182" t="s">
        <v>746</v>
      </c>
      <c r="E649" s="264"/>
      <c r="F649" s="183">
        <v>2</v>
      </c>
      <c r="H649" s="50">
        <f t="shared" ref="H649:H650" si="25">ROUND((F649*G649),2)</f>
        <v>0</v>
      </c>
      <c r="I649" s="35"/>
      <c r="J649" s="164"/>
    </row>
    <row r="650" spans="1:10" ht="12">
      <c r="A650" s="58" t="s">
        <v>900</v>
      </c>
      <c r="B650" s="27" t="s">
        <v>701</v>
      </c>
      <c r="D650" s="184" t="s">
        <v>1113</v>
      </c>
      <c r="E650" s="263"/>
      <c r="F650" s="188">
        <v>1</v>
      </c>
      <c r="H650" s="50">
        <f t="shared" si="25"/>
        <v>0</v>
      </c>
      <c r="I650" s="35"/>
      <c r="J650" s="164"/>
    </row>
    <row r="651" spans="1:10" ht="12">
      <c r="A651" s="58" t="s">
        <v>903</v>
      </c>
      <c r="B651" s="27"/>
      <c r="D651" s="173" t="s">
        <v>1116</v>
      </c>
      <c r="E651" s="262"/>
      <c r="F651" s="181"/>
      <c r="H651" s="168"/>
      <c r="I651" s="35"/>
      <c r="J651" s="164"/>
    </row>
    <row r="652" spans="1:10" ht="12">
      <c r="A652" s="58" t="s">
        <v>904</v>
      </c>
      <c r="B652" s="27" t="s">
        <v>701</v>
      </c>
      <c r="D652" s="173" t="s">
        <v>735</v>
      </c>
      <c r="E652" s="262"/>
      <c r="F652" s="181">
        <v>7</v>
      </c>
      <c r="H652" s="50">
        <f t="shared" ref="H652:H653" si="26">ROUND((F652*G652),2)</f>
        <v>0</v>
      </c>
      <c r="I652" s="35"/>
      <c r="J652" s="164"/>
    </row>
    <row r="653" spans="1:10" ht="12">
      <c r="A653" s="58" t="s">
        <v>905</v>
      </c>
      <c r="B653" s="27" t="s">
        <v>701</v>
      </c>
      <c r="D653" s="184" t="s">
        <v>1113</v>
      </c>
      <c r="E653" s="263"/>
      <c r="F653" s="185">
        <v>1</v>
      </c>
      <c r="H653" s="50">
        <f t="shared" si="26"/>
        <v>0</v>
      </c>
      <c r="I653" s="35"/>
      <c r="J653" s="164"/>
    </row>
    <row r="654" spans="1:10" ht="12">
      <c r="A654" s="58" t="s">
        <v>907</v>
      </c>
      <c r="B654" s="27"/>
      <c r="D654" s="173" t="s">
        <v>1117</v>
      </c>
      <c r="E654" s="262"/>
      <c r="F654" s="181"/>
      <c r="H654" s="168"/>
      <c r="I654" s="35"/>
      <c r="J654" s="164"/>
    </row>
    <row r="655" spans="1:10" ht="12">
      <c r="A655" s="58" t="s">
        <v>908</v>
      </c>
      <c r="B655" s="27" t="s">
        <v>701</v>
      </c>
      <c r="D655" s="173" t="s">
        <v>735</v>
      </c>
      <c r="E655" s="262"/>
      <c r="F655" s="181">
        <v>2</v>
      </c>
      <c r="H655" s="50">
        <f t="shared" ref="H655:H657" si="27">ROUND((F655*G655),2)</f>
        <v>0</v>
      </c>
      <c r="I655" s="35"/>
      <c r="J655" s="164"/>
    </row>
    <row r="656" spans="1:10" ht="12">
      <c r="A656" s="58" t="s">
        <v>909</v>
      </c>
      <c r="B656" s="27" t="s">
        <v>701</v>
      </c>
      <c r="D656" s="173" t="s">
        <v>737</v>
      </c>
      <c r="E656" s="262"/>
      <c r="F656" s="181">
        <v>1</v>
      </c>
      <c r="H656" s="50">
        <f t="shared" si="27"/>
        <v>0</v>
      </c>
      <c r="I656" s="35"/>
      <c r="J656" s="164"/>
    </row>
    <row r="657" spans="1:10" ht="12">
      <c r="A657" s="58" t="s">
        <v>1160</v>
      </c>
      <c r="B657" s="27" t="s">
        <v>701</v>
      </c>
      <c r="D657" s="184" t="s">
        <v>1113</v>
      </c>
      <c r="E657" s="263"/>
      <c r="F657" s="185">
        <v>1</v>
      </c>
      <c r="H657" s="50">
        <f t="shared" si="27"/>
        <v>0</v>
      </c>
      <c r="I657" s="35"/>
      <c r="J657" s="164"/>
    </row>
    <row r="658" spans="1:10" ht="12">
      <c r="A658" s="58" t="s">
        <v>1161</v>
      </c>
      <c r="B658" s="27"/>
      <c r="D658" s="173" t="s">
        <v>1118</v>
      </c>
      <c r="E658" s="262"/>
      <c r="F658" s="181"/>
      <c r="H658" s="168"/>
      <c r="I658" s="35"/>
      <c r="J658" s="164"/>
    </row>
    <row r="659" spans="1:10" ht="12">
      <c r="A659" s="58" t="s">
        <v>1162</v>
      </c>
      <c r="B659" s="27" t="s">
        <v>701</v>
      </c>
      <c r="D659" s="173" t="s">
        <v>1124</v>
      </c>
      <c r="E659" s="262"/>
      <c r="F659" s="181">
        <v>2</v>
      </c>
      <c r="H659" s="50">
        <f t="shared" ref="H659:H660" si="28">ROUND((F659*G659),2)</f>
        <v>0</v>
      </c>
      <c r="I659" s="35"/>
      <c r="J659" s="164"/>
    </row>
    <row r="660" spans="1:10" ht="12">
      <c r="A660" s="58" t="s">
        <v>1163</v>
      </c>
      <c r="B660" s="27" t="s">
        <v>701</v>
      </c>
      <c r="D660" s="182" t="s">
        <v>1123</v>
      </c>
      <c r="E660" s="264"/>
      <c r="F660" s="183">
        <v>2</v>
      </c>
      <c r="H660" s="50">
        <f t="shared" si="28"/>
        <v>0</v>
      </c>
      <c r="I660" s="35"/>
      <c r="J660" s="164"/>
    </row>
    <row r="661" spans="1:10" ht="15.6" customHeight="1">
      <c r="A661" s="58" t="s">
        <v>1164</v>
      </c>
      <c r="B661" s="27"/>
      <c r="D661" s="173"/>
      <c r="E661" s="262"/>
      <c r="F661" s="159"/>
      <c r="H661" s="178"/>
      <c r="I661" s="35"/>
      <c r="J661" s="164"/>
    </row>
    <row r="662" spans="1:10" ht="24">
      <c r="A662" s="58" t="s">
        <v>1165</v>
      </c>
      <c r="B662" s="27"/>
      <c r="D662" s="189" t="s">
        <v>1330</v>
      </c>
      <c r="E662" s="190" t="s">
        <v>1120</v>
      </c>
      <c r="F662" s="165">
        <f>SUM(F664:F696)</f>
        <v>91</v>
      </c>
      <c r="H662" s="178"/>
      <c r="I662" s="35"/>
      <c r="J662" s="164"/>
    </row>
    <row r="663" spans="1:10" ht="12">
      <c r="A663" s="58" t="s">
        <v>1166</v>
      </c>
      <c r="B663" s="27"/>
      <c r="D663" s="180" t="s">
        <v>1110</v>
      </c>
      <c r="E663" s="262"/>
      <c r="F663" s="177"/>
      <c r="H663" s="168"/>
      <c r="I663" s="35"/>
      <c r="J663" s="164"/>
    </row>
    <row r="664" spans="1:10" ht="12">
      <c r="A664" s="58" t="s">
        <v>1167</v>
      </c>
      <c r="B664" s="27" t="s">
        <v>701</v>
      </c>
      <c r="D664" s="191" t="s">
        <v>1121</v>
      </c>
      <c r="E664" s="265"/>
      <c r="F664" s="193">
        <v>6</v>
      </c>
      <c r="H664" s="50">
        <f t="shared" ref="H664:H665" si="29">ROUND((F664*G664),2)</f>
        <v>0</v>
      </c>
      <c r="I664" s="35"/>
      <c r="J664" s="164"/>
    </row>
    <row r="665" spans="1:10" ht="12">
      <c r="A665" s="58" t="s">
        <v>1168</v>
      </c>
      <c r="B665" s="27" t="s">
        <v>701</v>
      </c>
      <c r="D665" s="184" t="s">
        <v>1113</v>
      </c>
      <c r="E665" s="263"/>
      <c r="F665" s="194">
        <v>4</v>
      </c>
      <c r="H665" s="50">
        <f t="shared" si="29"/>
        <v>0</v>
      </c>
      <c r="I665" s="35"/>
      <c r="J665" s="164"/>
    </row>
    <row r="666" spans="1:10" ht="12">
      <c r="A666" s="58" t="s">
        <v>1169</v>
      </c>
      <c r="B666" s="27"/>
      <c r="D666" s="173" t="s">
        <v>1111</v>
      </c>
      <c r="E666" s="262"/>
      <c r="F666" s="57"/>
      <c r="H666" s="168"/>
      <c r="I666" s="35"/>
      <c r="J666" s="164"/>
    </row>
    <row r="667" spans="1:10" ht="12">
      <c r="A667" s="58" t="s">
        <v>1170</v>
      </c>
      <c r="B667" s="27" t="s">
        <v>701</v>
      </c>
      <c r="D667" s="191" t="s">
        <v>1121</v>
      </c>
      <c r="E667" s="265"/>
      <c r="F667" s="193">
        <v>1</v>
      </c>
      <c r="H667" s="50">
        <f t="shared" ref="H667:H668" si="30">ROUND((F667*G667),2)</f>
        <v>0</v>
      </c>
      <c r="I667" s="35"/>
      <c r="J667" s="164"/>
    </row>
    <row r="668" spans="1:10" ht="12">
      <c r="A668" s="58" t="s">
        <v>1171</v>
      </c>
      <c r="B668" s="27" t="s">
        <v>701</v>
      </c>
      <c r="D668" s="184" t="s">
        <v>1113</v>
      </c>
      <c r="E668" s="263"/>
      <c r="F668" s="194">
        <v>7</v>
      </c>
      <c r="H668" s="50">
        <f t="shared" si="30"/>
        <v>0</v>
      </c>
      <c r="I668" s="35"/>
      <c r="J668" s="164"/>
    </row>
    <row r="669" spans="1:10" ht="12">
      <c r="A669" s="58" t="s">
        <v>1172</v>
      </c>
      <c r="B669" s="27"/>
      <c r="D669" s="173" t="s">
        <v>1112</v>
      </c>
      <c r="E669" s="262"/>
      <c r="F669" s="57"/>
      <c r="H669" s="168"/>
      <c r="I669" s="35"/>
      <c r="J669" s="164"/>
    </row>
    <row r="670" spans="1:10" ht="12">
      <c r="A670" s="58" t="s">
        <v>1173</v>
      </c>
      <c r="B670" s="27" t="s">
        <v>701</v>
      </c>
      <c r="D670" s="173" t="s">
        <v>735</v>
      </c>
      <c r="E670" s="262"/>
      <c r="F670" s="57">
        <v>1</v>
      </c>
      <c r="H670" s="50">
        <f t="shared" ref="H670:H673" si="31">ROUND((F670*G670),2)</f>
        <v>0</v>
      </c>
      <c r="I670" s="35"/>
      <c r="J670" s="164"/>
    </row>
    <row r="671" spans="1:10" ht="12">
      <c r="A671" s="58" t="s">
        <v>1174</v>
      </c>
      <c r="B671" s="27" t="s">
        <v>701</v>
      </c>
      <c r="D671" s="182" t="s">
        <v>746</v>
      </c>
      <c r="E671" s="264"/>
      <c r="F671" s="195">
        <v>1</v>
      </c>
      <c r="H671" s="50">
        <f t="shared" si="31"/>
        <v>0</v>
      </c>
      <c r="I671" s="35"/>
      <c r="J671" s="164"/>
    </row>
    <row r="672" spans="1:10" ht="12">
      <c r="A672" s="58" t="s">
        <v>1175</v>
      </c>
      <c r="B672" s="27" t="s">
        <v>701</v>
      </c>
      <c r="D672" s="184" t="s">
        <v>1113</v>
      </c>
      <c r="E672" s="263"/>
      <c r="F672" s="194">
        <v>4</v>
      </c>
      <c r="H672" s="50">
        <f t="shared" si="31"/>
        <v>0</v>
      </c>
      <c r="I672" s="35"/>
      <c r="J672" s="164"/>
    </row>
    <row r="673" spans="1:10" ht="12">
      <c r="A673" s="58" t="s">
        <v>1176</v>
      </c>
      <c r="B673" s="27" t="s">
        <v>701</v>
      </c>
      <c r="D673" s="191" t="s">
        <v>1121</v>
      </c>
      <c r="E673" s="265"/>
      <c r="F673" s="193">
        <v>3</v>
      </c>
      <c r="H673" s="50">
        <f t="shared" si="31"/>
        <v>0</v>
      </c>
      <c r="I673" s="35"/>
      <c r="J673" s="164"/>
    </row>
    <row r="674" spans="1:10" ht="12">
      <c r="A674" s="58" t="s">
        <v>1177</v>
      </c>
      <c r="B674" s="27"/>
      <c r="D674" s="173" t="s">
        <v>1114</v>
      </c>
      <c r="E674" s="262"/>
      <c r="F674" s="57"/>
      <c r="H674" s="168"/>
      <c r="I674" s="35"/>
      <c r="J674" s="164"/>
    </row>
    <row r="675" spans="1:10" ht="12">
      <c r="A675" s="58" t="s">
        <v>1178</v>
      </c>
      <c r="B675" s="27" t="s">
        <v>701</v>
      </c>
      <c r="D675" s="173" t="s">
        <v>735</v>
      </c>
      <c r="E675" s="262"/>
      <c r="F675" s="57">
        <v>9</v>
      </c>
      <c r="H675" s="50">
        <f t="shared" ref="H675:H696" si="32">ROUND((F675*G675),2)</f>
        <v>0</v>
      </c>
      <c r="I675" s="35"/>
      <c r="J675" s="164"/>
    </row>
    <row r="676" spans="1:10" ht="12">
      <c r="A676" s="58" t="s">
        <v>1179</v>
      </c>
      <c r="B676" s="27" t="s">
        <v>701</v>
      </c>
      <c r="D676" s="173" t="s">
        <v>737</v>
      </c>
      <c r="E676" s="262"/>
      <c r="F676" s="57">
        <v>1</v>
      </c>
      <c r="H676" s="50">
        <f t="shared" si="32"/>
        <v>0</v>
      </c>
      <c r="I676" s="35"/>
      <c r="J676" s="164"/>
    </row>
    <row r="677" spans="1:10" ht="12">
      <c r="A677" s="58" t="s">
        <v>1180</v>
      </c>
      <c r="B677" s="27" t="s">
        <v>701</v>
      </c>
      <c r="D677" s="182" t="s">
        <v>746</v>
      </c>
      <c r="E677" s="264"/>
      <c r="F677" s="195">
        <v>1</v>
      </c>
      <c r="H677" s="50">
        <f t="shared" si="32"/>
        <v>0</v>
      </c>
      <c r="I677" s="35"/>
      <c r="J677" s="164"/>
    </row>
    <row r="678" spans="1:10" ht="12">
      <c r="A678" s="58" t="s">
        <v>1181</v>
      </c>
      <c r="B678" s="27" t="s">
        <v>701</v>
      </c>
      <c r="D678" s="184" t="s">
        <v>1113</v>
      </c>
      <c r="E678" s="263"/>
      <c r="F678" s="194">
        <v>1</v>
      </c>
      <c r="H678" s="50">
        <f t="shared" si="32"/>
        <v>0</v>
      </c>
      <c r="I678" s="35"/>
      <c r="J678" s="164"/>
    </row>
    <row r="679" spans="1:10" ht="12">
      <c r="A679" s="58" t="s">
        <v>1182</v>
      </c>
      <c r="B679" s="27"/>
      <c r="D679" s="173" t="s">
        <v>1115</v>
      </c>
      <c r="E679" s="262"/>
      <c r="F679" s="57"/>
      <c r="H679" s="168"/>
      <c r="I679" s="35"/>
      <c r="J679" s="164"/>
    </row>
    <row r="680" spans="1:10" ht="12">
      <c r="A680" s="58" t="s">
        <v>1183</v>
      </c>
      <c r="B680" s="27" t="s">
        <v>701</v>
      </c>
      <c r="D680" s="182" t="s">
        <v>746</v>
      </c>
      <c r="E680" s="264"/>
      <c r="F680" s="195">
        <v>8</v>
      </c>
      <c r="H680" s="50">
        <f t="shared" si="32"/>
        <v>0</v>
      </c>
      <c r="I680" s="35"/>
      <c r="J680" s="164"/>
    </row>
    <row r="681" spans="1:10" ht="12">
      <c r="A681" s="58" t="s">
        <v>1184</v>
      </c>
      <c r="B681" s="27" t="s">
        <v>701</v>
      </c>
      <c r="D681" s="184" t="s">
        <v>1113</v>
      </c>
      <c r="E681" s="263"/>
      <c r="F681" s="194">
        <v>1</v>
      </c>
      <c r="H681" s="50">
        <f t="shared" si="32"/>
        <v>0</v>
      </c>
      <c r="I681" s="35"/>
      <c r="J681" s="164"/>
    </row>
    <row r="682" spans="1:10" ht="12">
      <c r="A682" s="58" t="s">
        <v>1185</v>
      </c>
      <c r="B682" s="27" t="s">
        <v>701</v>
      </c>
      <c r="D682" s="191" t="s">
        <v>1121</v>
      </c>
      <c r="E682" s="265"/>
      <c r="F682" s="193">
        <v>2</v>
      </c>
      <c r="H682" s="50">
        <f t="shared" si="32"/>
        <v>0</v>
      </c>
      <c r="I682" s="35"/>
      <c r="J682" s="164"/>
    </row>
    <row r="683" spans="1:10" ht="12">
      <c r="A683" s="58" t="s">
        <v>1186</v>
      </c>
      <c r="B683" s="27"/>
      <c r="D683" s="173" t="s">
        <v>1116</v>
      </c>
      <c r="E683" s="262"/>
      <c r="F683" s="57"/>
      <c r="H683" s="168"/>
      <c r="I683" s="35"/>
      <c r="J683" s="164"/>
    </row>
    <row r="684" spans="1:10" ht="12">
      <c r="A684" s="58" t="s">
        <v>1187</v>
      </c>
      <c r="B684" s="27" t="s">
        <v>701</v>
      </c>
      <c r="D684" s="173" t="s">
        <v>735</v>
      </c>
      <c r="E684" s="262"/>
      <c r="F684" s="57">
        <v>1</v>
      </c>
      <c r="H684" s="50">
        <f t="shared" si="32"/>
        <v>0</v>
      </c>
      <c r="I684" s="35"/>
      <c r="J684" s="164"/>
    </row>
    <row r="685" spans="1:10" ht="12">
      <c r="A685" s="58" t="s">
        <v>1188</v>
      </c>
      <c r="B685" s="27" t="s">
        <v>701</v>
      </c>
      <c r="D685" s="173" t="s">
        <v>737</v>
      </c>
      <c r="E685" s="262"/>
      <c r="F685" s="57">
        <v>4</v>
      </c>
      <c r="H685" s="50">
        <f t="shared" si="32"/>
        <v>0</v>
      </c>
      <c r="I685" s="35"/>
      <c r="J685" s="164"/>
    </row>
    <row r="686" spans="1:10" ht="12">
      <c r="A686" s="58" t="s">
        <v>1189</v>
      </c>
      <c r="B686" s="27" t="s">
        <v>701</v>
      </c>
      <c r="D686" s="182" t="s">
        <v>746</v>
      </c>
      <c r="E686" s="264"/>
      <c r="F686" s="195">
        <v>12</v>
      </c>
      <c r="H686" s="50">
        <f t="shared" si="32"/>
        <v>0</v>
      </c>
      <c r="I686" s="35"/>
      <c r="J686" s="164"/>
    </row>
    <row r="687" spans="1:10" ht="12">
      <c r="A687" s="58" t="s">
        <v>1190</v>
      </c>
      <c r="B687" s="27" t="s">
        <v>701</v>
      </c>
      <c r="D687" s="191" t="s">
        <v>1121</v>
      </c>
      <c r="E687" s="265"/>
      <c r="F687" s="193">
        <v>1</v>
      </c>
      <c r="H687" s="50">
        <f t="shared" si="32"/>
        <v>0</v>
      </c>
      <c r="I687" s="35"/>
      <c r="J687" s="164"/>
    </row>
    <row r="688" spans="1:10" ht="12">
      <c r="A688" s="58" t="s">
        <v>1191</v>
      </c>
      <c r="B688" s="27"/>
      <c r="D688" s="173" t="s">
        <v>1117</v>
      </c>
      <c r="E688" s="262"/>
      <c r="F688" s="57"/>
      <c r="H688" s="168"/>
      <c r="I688" s="35"/>
      <c r="J688" s="164"/>
    </row>
    <row r="689" spans="1:10" ht="12">
      <c r="A689" s="58" t="s">
        <v>1192</v>
      </c>
      <c r="B689" s="27" t="s">
        <v>701</v>
      </c>
      <c r="D689" s="173" t="s">
        <v>735</v>
      </c>
      <c r="E689" s="262"/>
      <c r="F689" s="57">
        <v>1</v>
      </c>
      <c r="H689" s="50">
        <f t="shared" si="32"/>
        <v>0</v>
      </c>
      <c r="I689" s="35"/>
      <c r="J689" s="164"/>
    </row>
    <row r="690" spans="1:10" ht="12">
      <c r="A690" s="58" t="s">
        <v>1193</v>
      </c>
      <c r="B690" s="27" t="s">
        <v>701</v>
      </c>
      <c r="D690" s="173" t="s">
        <v>737</v>
      </c>
      <c r="E690" s="262"/>
      <c r="F690" s="57">
        <v>6</v>
      </c>
      <c r="H690" s="50">
        <f t="shared" si="32"/>
        <v>0</v>
      </c>
      <c r="I690" s="35"/>
      <c r="J690" s="164"/>
    </row>
    <row r="691" spans="1:10" ht="12">
      <c r="A691" s="58" t="s">
        <v>1194</v>
      </c>
      <c r="B691" s="27" t="s">
        <v>701</v>
      </c>
      <c r="D691" s="182" t="s">
        <v>746</v>
      </c>
      <c r="E691" s="264"/>
      <c r="F691" s="195">
        <v>10</v>
      </c>
      <c r="H691" s="50">
        <f t="shared" si="32"/>
        <v>0</v>
      </c>
      <c r="I691" s="35"/>
      <c r="J691" s="164"/>
    </row>
    <row r="692" spans="1:10" ht="12">
      <c r="A692" s="58" t="s">
        <v>1195</v>
      </c>
      <c r="B692" s="27" t="s">
        <v>701</v>
      </c>
      <c r="D692" s="191" t="s">
        <v>1121</v>
      </c>
      <c r="E692" s="265"/>
      <c r="F692" s="193">
        <v>1</v>
      </c>
      <c r="H692" s="50">
        <f t="shared" si="32"/>
        <v>0</v>
      </c>
      <c r="I692" s="35"/>
      <c r="J692" s="164"/>
    </row>
    <row r="693" spans="1:10" ht="12">
      <c r="A693" s="58" t="s">
        <v>1196</v>
      </c>
      <c r="B693" s="27"/>
      <c r="D693" s="173" t="s">
        <v>1118</v>
      </c>
      <c r="E693" s="262"/>
      <c r="F693" s="57"/>
      <c r="H693" s="168"/>
      <c r="I693" s="35"/>
      <c r="J693" s="164"/>
    </row>
    <row r="694" spans="1:10" ht="12">
      <c r="A694" s="58" t="s">
        <v>1197</v>
      </c>
      <c r="B694" s="27" t="s">
        <v>701</v>
      </c>
      <c r="D694" s="173" t="s">
        <v>1122</v>
      </c>
      <c r="E694" s="262"/>
      <c r="F694" s="57">
        <v>1</v>
      </c>
      <c r="H694" s="50">
        <f t="shared" si="32"/>
        <v>0</v>
      </c>
      <c r="I694" s="35"/>
      <c r="J694" s="164"/>
    </row>
    <row r="695" spans="1:10" ht="12">
      <c r="A695" s="58" t="s">
        <v>1198</v>
      </c>
      <c r="B695" s="27" t="s">
        <v>701</v>
      </c>
      <c r="D695" s="173" t="s">
        <v>1125</v>
      </c>
      <c r="E695" s="262"/>
      <c r="F695" s="57">
        <v>2</v>
      </c>
      <c r="H695" s="50">
        <f t="shared" si="32"/>
        <v>0</v>
      </c>
      <c r="I695" s="35"/>
      <c r="J695" s="164"/>
    </row>
    <row r="696" spans="1:10" ht="12">
      <c r="A696" s="58" t="s">
        <v>1199</v>
      </c>
      <c r="B696" s="27" t="s">
        <v>701</v>
      </c>
      <c r="D696" s="191" t="s">
        <v>1121</v>
      </c>
      <c r="E696" s="265"/>
      <c r="F696" s="193">
        <v>2</v>
      </c>
      <c r="H696" s="50">
        <f t="shared" si="32"/>
        <v>0</v>
      </c>
      <c r="I696" s="35"/>
      <c r="J696" s="164"/>
    </row>
    <row r="697" spans="1:10" ht="12">
      <c r="A697" s="58" t="s">
        <v>1200</v>
      </c>
      <c r="B697" s="27"/>
      <c r="D697" s="173"/>
      <c r="E697" s="262"/>
      <c r="F697" s="57"/>
      <c r="H697" s="168"/>
      <c r="I697" s="35"/>
      <c r="J697" s="164"/>
    </row>
    <row r="698" spans="1:10" ht="24">
      <c r="A698" s="58" t="s">
        <v>1201</v>
      </c>
      <c r="B698" s="27" t="s">
        <v>733</v>
      </c>
      <c r="D698" s="189" t="s">
        <v>751</v>
      </c>
      <c r="E698" s="262"/>
      <c r="F698" s="177">
        <f>SUM(F699:F703)</f>
        <v>154</v>
      </c>
      <c r="H698" s="168"/>
      <c r="I698" s="35"/>
      <c r="J698" s="164"/>
    </row>
    <row r="699" spans="1:10" ht="12">
      <c r="A699" s="58" t="s">
        <v>1202</v>
      </c>
      <c r="B699" s="27" t="s">
        <v>733</v>
      </c>
      <c r="D699" s="196" t="s">
        <v>735</v>
      </c>
      <c r="E699" s="262" t="s">
        <v>91</v>
      </c>
      <c r="F699" s="177">
        <v>22</v>
      </c>
      <c r="H699" s="50">
        <f t="shared" ref="H699:H704" si="33">ROUND((F699*G699),2)</f>
        <v>0</v>
      </c>
      <c r="I699" s="35"/>
      <c r="J699" s="164"/>
    </row>
    <row r="700" spans="1:10" ht="12">
      <c r="A700" s="58" t="s">
        <v>1203</v>
      </c>
      <c r="B700" s="27" t="s">
        <v>733</v>
      </c>
      <c r="D700" s="196" t="s">
        <v>737</v>
      </c>
      <c r="E700" s="43" t="s">
        <v>744</v>
      </c>
      <c r="F700" s="177">
        <v>26</v>
      </c>
      <c r="H700" s="50">
        <f t="shared" si="33"/>
        <v>0</v>
      </c>
      <c r="I700" s="35"/>
      <c r="J700" s="164"/>
    </row>
    <row r="701" spans="1:10" ht="12">
      <c r="A701" s="58" t="s">
        <v>1204</v>
      </c>
      <c r="B701" s="27" t="s">
        <v>733</v>
      </c>
      <c r="D701" s="197" t="s">
        <v>746</v>
      </c>
      <c r="E701" s="264" t="s">
        <v>91</v>
      </c>
      <c r="F701" s="198">
        <v>48</v>
      </c>
      <c r="H701" s="50">
        <f t="shared" si="33"/>
        <v>0</v>
      </c>
      <c r="I701" s="35"/>
      <c r="J701" s="164"/>
    </row>
    <row r="702" spans="1:10" ht="12">
      <c r="A702" s="58" t="s">
        <v>1205</v>
      </c>
      <c r="B702" s="27" t="s">
        <v>733</v>
      </c>
      <c r="D702" s="199" t="s">
        <v>740</v>
      </c>
      <c r="E702" s="263" t="s">
        <v>91</v>
      </c>
      <c r="F702" s="200">
        <v>28</v>
      </c>
      <c r="H702" s="50">
        <f t="shared" si="33"/>
        <v>0</v>
      </c>
      <c r="I702" s="35"/>
      <c r="J702" s="164"/>
    </row>
    <row r="703" spans="1:10" ht="12">
      <c r="A703" s="58" t="s">
        <v>1206</v>
      </c>
      <c r="B703" s="27" t="s">
        <v>733</v>
      </c>
      <c r="D703" s="201" t="s">
        <v>749</v>
      </c>
      <c r="E703" s="265" t="s">
        <v>91</v>
      </c>
      <c r="F703" s="202">
        <v>30</v>
      </c>
      <c r="H703" s="50">
        <f t="shared" si="33"/>
        <v>0</v>
      </c>
      <c r="I703" s="35"/>
      <c r="J703" s="164"/>
    </row>
    <row r="704" spans="1:10" ht="12">
      <c r="A704" s="58" t="s">
        <v>1207</v>
      </c>
      <c r="B704" s="27" t="s">
        <v>733</v>
      </c>
      <c r="D704" s="189" t="s">
        <v>758</v>
      </c>
      <c r="E704" s="262" t="s">
        <v>91</v>
      </c>
      <c r="F704" s="177">
        <v>504</v>
      </c>
      <c r="H704" s="50">
        <f t="shared" si="33"/>
        <v>0</v>
      </c>
      <c r="I704" s="35"/>
      <c r="J704" s="164"/>
    </row>
    <row r="705" spans="1:47" ht="12">
      <c r="A705" s="58" t="s">
        <v>1208</v>
      </c>
      <c r="B705" s="27"/>
      <c r="D705" s="196"/>
      <c r="E705" s="262"/>
      <c r="F705" s="177"/>
      <c r="H705" s="168"/>
      <c r="I705" s="35"/>
      <c r="J705" s="164"/>
    </row>
    <row r="706" spans="1:47" ht="48">
      <c r="A706" s="58" t="s">
        <v>1209</v>
      </c>
      <c r="B706" s="27"/>
      <c r="D706" s="35" t="s">
        <v>1429</v>
      </c>
      <c r="E706" s="262"/>
      <c r="F706" s="177"/>
      <c r="H706" s="168"/>
      <c r="I706" s="35"/>
      <c r="J706" s="164"/>
    </row>
    <row r="707" spans="1:47" s="203" customFormat="1" ht="12">
      <c r="A707" s="58" t="s">
        <v>1210</v>
      </c>
      <c r="B707" s="27" t="s">
        <v>733</v>
      </c>
      <c r="C707" s="27"/>
      <c r="D707" s="175" t="s">
        <v>762</v>
      </c>
      <c r="E707" s="43" t="s">
        <v>744</v>
      </c>
      <c r="F707" s="177">
        <v>111</v>
      </c>
      <c r="G707" s="31"/>
      <c r="H707" s="50">
        <f t="shared" ref="H707:H709" si="34">ROUND((F707*G707),2)</f>
        <v>0</v>
      </c>
      <c r="J707" s="164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F707" s="35"/>
      <c r="AG707" s="35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</row>
    <row r="708" spans="1:47" s="203" customFormat="1" ht="12">
      <c r="A708" s="58" t="s">
        <v>1211</v>
      </c>
      <c r="B708" s="27" t="s">
        <v>733</v>
      </c>
      <c r="C708" s="27"/>
      <c r="D708" s="175" t="s">
        <v>764</v>
      </c>
      <c r="E708" s="43" t="s">
        <v>744</v>
      </c>
      <c r="F708" s="177">
        <v>185</v>
      </c>
      <c r="G708" s="31"/>
      <c r="H708" s="50">
        <f t="shared" si="34"/>
        <v>0</v>
      </c>
      <c r="J708" s="164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F708" s="35"/>
      <c r="AG708" s="35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</row>
    <row r="709" spans="1:47" s="203" customFormat="1" ht="12">
      <c r="A709" s="58" t="s">
        <v>1212</v>
      </c>
      <c r="B709" s="27" t="s">
        <v>733</v>
      </c>
      <c r="C709" s="27"/>
      <c r="D709" s="175" t="s">
        <v>1333</v>
      </c>
      <c r="E709" s="43" t="s">
        <v>744</v>
      </c>
      <c r="F709" s="177">
        <v>118</v>
      </c>
      <c r="G709" s="31"/>
      <c r="H709" s="50">
        <f t="shared" si="34"/>
        <v>0</v>
      </c>
      <c r="J709" s="164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F709" s="35"/>
      <c r="AG709" s="35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</row>
    <row r="710" spans="1:47" s="203" customFormat="1" ht="24">
      <c r="A710" s="58" t="s">
        <v>1213</v>
      </c>
      <c r="B710" s="27"/>
      <c r="C710" s="27"/>
      <c r="D710" s="175" t="s">
        <v>1324</v>
      </c>
      <c r="E710" s="43" t="s">
        <v>744</v>
      </c>
      <c r="F710" s="177"/>
      <c r="G710" s="31"/>
      <c r="H710" s="168"/>
      <c r="J710" s="164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F710" s="35"/>
      <c r="AG710" s="35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</row>
    <row r="711" spans="1:47" s="203" customFormat="1" ht="12">
      <c r="A711" s="58" t="s">
        <v>1214</v>
      </c>
      <c r="B711" s="27" t="s">
        <v>733</v>
      </c>
      <c r="C711" s="27"/>
      <c r="D711" s="175" t="s">
        <v>768</v>
      </c>
      <c r="E711" s="43" t="s">
        <v>744</v>
      </c>
      <c r="F711" s="177">
        <v>1</v>
      </c>
      <c r="G711" s="31"/>
      <c r="H711" s="50">
        <f t="shared" ref="H711:H760" si="35">ROUND((F711*G711),2)</f>
        <v>0</v>
      </c>
      <c r="J711" s="164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F711" s="35"/>
      <c r="AG711" s="35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</row>
    <row r="712" spans="1:47" s="203" customFormat="1" ht="12">
      <c r="A712" s="58" t="s">
        <v>1215</v>
      </c>
      <c r="B712" s="27" t="s">
        <v>733</v>
      </c>
      <c r="C712" s="27"/>
      <c r="D712" s="175" t="s">
        <v>770</v>
      </c>
      <c r="E712" s="43" t="s">
        <v>744</v>
      </c>
      <c r="F712" s="177">
        <v>1</v>
      </c>
      <c r="G712" s="31"/>
      <c r="H712" s="50">
        <f t="shared" si="35"/>
        <v>0</v>
      </c>
      <c r="J712" s="164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F712" s="35"/>
      <c r="AG712" s="35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</row>
    <row r="713" spans="1:47" s="203" customFormat="1" ht="36">
      <c r="A713" s="58" t="s">
        <v>1216</v>
      </c>
      <c r="B713" s="27"/>
      <c r="C713" s="27"/>
      <c r="D713" s="204" t="s">
        <v>1430</v>
      </c>
      <c r="E713" s="43"/>
      <c r="F713" s="177"/>
      <c r="G713" s="31"/>
      <c r="H713" s="50"/>
      <c r="J713" s="164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F713" s="35"/>
      <c r="AG713" s="35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</row>
    <row r="714" spans="1:47" s="203" customFormat="1" ht="12">
      <c r="A714" s="58" t="s">
        <v>1217</v>
      </c>
      <c r="B714" s="27"/>
      <c r="C714" s="27"/>
      <c r="D714" s="175"/>
      <c r="E714" s="43"/>
      <c r="F714" s="177"/>
      <c r="G714" s="31"/>
      <c r="H714" s="50"/>
      <c r="J714" s="164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F714" s="35"/>
      <c r="AG714" s="35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</row>
    <row r="715" spans="1:47" s="203" customFormat="1" ht="12">
      <c r="A715" s="58" t="s">
        <v>1218</v>
      </c>
      <c r="B715" s="27" t="s">
        <v>733</v>
      </c>
      <c r="C715" s="27"/>
      <c r="D715" s="175" t="s">
        <v>1128</v>
      </c>
      <c r="E715" s="43" t="s">
        <v>744</v>
      </c>
      <c r="F715" s="177">
        <v>41</v>
      </c>
      <c r="G715" s="31"/>
      <c r="H715" s="50">
        <f t="shared" si="35"/>
        <v>0</v>
      </c>
      <c r="J715" s="164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F715" s="35"/>
      <c r="AG715" s="35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</row>
    <row r="716" spans="1:47" s="203" customFormat="1" ht="12">
      <c r="A716" s="58" t="s">
        <v>1219</v>
      </c>
      <c r="B716" s="27" t="s">
        <v>733</v>
      </c>
      <c r="C716" s="27"/>
      <c r="D716" s="175" t="s">
        <v>1129</v>
      </c>
      <c r="E716" s="43" t="s">
        <v>744</v>
      </c>
      <c r="F716" s="177">
        <v>271</v>
      </c>
      <c r="G716" s="31"/>
      <c r="H716" s="50">
        <f t="shared" si="35"/>
        <v>0</v>
      </c>
      <c r="J716" s="164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F716" s="35"/>
      <c r="AG716" s="35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</row>
    <row r="717" spans="1:47" s="203" customFormat="1" ht="12">
      <c r="A717" s="58" t="s">
        <v>1220</v>
      </c>
      <c r="B717" s="27" t="s">
        <v>733</v>
      </c>
      <c r="C717" s="27"/>
      <c r="D717" s="175" t="s">
        <v>1127</v>
      </c>
      <c r="E717" s="43" t="s">
        <v>744</v>
      </c>
      <c r="F717" s="177">
        <v>51</v>
      </c>
      <c r="G717" s="31"/>
      <c r="H717" s="50">
        <f t="shared" si="35"/>
        <v>0</v>
      </c>
      <c r="J717" s="164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F717" s="35"/>
      <c r="AG717" s="35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</row>
    <row r="718" spans="1:47" s="203" customFormat="1" ht="12">
      <c r="A718" s="58" t="s">
        <v>1221</v>
      </c>
      <c r="B718" s="27"/>
      <c r="C718" s="27"/>
      <c r="D718" s="175" t="s">
        <v>772</v>
      </c>
      <c r="E718" s="43"/>
      <c r="F718" s="177"/>
      <c r="G718" s="31"/>
      <c r="H718" s="50">
        <f t="shared" si="35"/>
        <v>0</v>
      </c>
      <c r="J718" s="164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F718" s="35"/>
      <c r="AG718" s="35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</row>
    <row r="719" spans="1:47" s="203" customFormat="1" ht="12">
      <c r="A719" s="58" t="s">
        <v>1222</v>
      </c>
      <c r="B719" s="27" t="s">
        <v>733</v>
      </c>
      <c r="C719" s="27"/>
      <c r="D719" s="175" t="s">
        <v>1130</v>
      </c>
      <c r="E719" s="43" t="s">
        <v>744</v>
      </c>
      <c r="F719" s="159">
        <v>18</v>
      </c>
      <c r="G719" s="31"/>
      <c r="H719" s="50">
        <f t="shared" si="35"/>
        <v>0</v>
      </c>
      <c r="J719" s="164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F719" s="35"/>
      <c r="AG719" s="35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</row>
    <row r="720" spans="1:47" s="203" customFormat="1" ht="12">
      <c r="A720" s="58" t="s">
        <v>1223</v>
      </c>
      <c r="B720" s="27" t="s">
        <v>733</v>
      </c>
      <c r="C720" s="27"/>
      <c r="D720" s="175" t="s">
        <v>1131</v>
      </c>
      <c r="E720" s="43" t="s">
        <v>744</v>
      </c>
      <c r="F720" s="159">
        <v>14</v>
      </c>
      <c r="G720" s="31"/>
      <c r="H720" s="50">
        <f t="shared" si="35"/>
        <v>0</v>
      </c>
      <c r="J720" s="164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F720" s="35"/>
      <c r="AG720" s="35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</row>
    <row r="721" spans="1:47" s="203" customFormat="1" ht="12">
      <c r="A721" s="58" t="s">
        <v>1224</v>
      </c>
      <c r="B721" s="27" t="s">
        <v>733</v>
      </c>
      <c r="C721" s="27"/>
      <c r="D721" s="175" t="s">
        <v>1132</v>
      </c>
      <c r="E721" s="43" t="s">
        <v>744</v>
      </c>
      <c r="F721" s="159">
        <v>21</v>
      </c>
      <c r="G721" s="31"/>
      <c r="H721" s="50">
        <f t="shared" si="35"/>
        <v>0</v>
      </c>
      <c r="J721" s="164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F721" s="35"/>
      <c r="AG721" s="35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</row>
    <row r="722" spans="1:47" s="203" customFormat="1" ht="28.8">
      <c r="A722" s="58" t="s">
        <v>1225</v>
      </c>
      <c r="B722" s="27" t="s">
        <v>1133</v>
      </c>
      <c r="C722" s="27"/>
      <c r="D722" s="86" t="s">
        <v>1317</v>
      </c>
      <c r="E722" s="170" t="s">
        <v>91</v>
      </c>
      <c r="F722" s="159">
        <v>205</v>
      </c>
      <c r="G722" s="31"/>
      <c r="H722" s="50">
        <f t="shared" si="35"/>
        <v>0</v>
      </c>
      <c r="J722" s="164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F722" s="35"/>
      <c r="AG722" s="35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</row>
    <row r="723" spans="1:47" s="203" customFormat="1" ht="12">
      <c r="A723" s="58" t="s">
        <v>1226</v>
      </c>
      <c r="B723" s="27" t="s">
        <v>701</v>
      </c>
      <c r="C723" s="27"/>
      <c r="D723" s="175" t="s">
        <v>782</v>
      </c>
      <c r="E723" s="170" t="s">
        <v>91</v>
      </c>
      <c r="F723" s="159">
        <v>504</v>
      </c>
      <c r="G723" s="31"/>
      <c r="H723" s="50">
        <f t="shared" si="35"/>
        <v>0</v>
      </c>
      <c r="J723" s="164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F723" s="35"/>
      <c r="AG723" s="35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</row>
    <row r="724" spans="1:47" s="203" customFormat="1" ht="12">
      <c r="A724" s="58" t="s">
        <v>1227</v>
      </c>
      <c r="B724" s="27" t="s">
        <v>784</v>
      </c>
      <c r="C724" s="27"/>
      <c r="D724" s="175" t="s">
        <v>785</v>
      </c>
      <c r="E724" s="170" t="s">
        <v>91</v>
      </c>
      <c r="F724" s="159">
        <v>504</v>
      </c>
      <c r="G724" s="31"/>
      <c r="H724" s="50">
        <f t="shared" si="35"/>
        <v>0</v>
      </c>
      <c r="J724" s="164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F724" s="35"/>
      <c r="AG724" s="35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</row>
    <row r="725" spans="1:47" s="203" customFormat="1" ht="12">
      <c r="A725" s="58" t="s">
        <v>1228</v>
      </c>
      <c r="B725" s="27" t="s">
        <v>1334</v>
      </c>
      <c r="C725" s="27"/>
      <c r="D725" s="175" t="s">
        <v>787</v>
      </c>
      <c r="E725" s="170" t="s">
        <v>91</v>
      </c>
      <c r="F725" s="159">
        <v>410</v>
      </c>
      <c r="G725" s="31"/>
      <c r="H725" s="50">
        <f t="shared" si="35"/>
        <v>0</v>
      </c>
      <c r="J725" s="164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F725" s="35"/>
      <c r="AG725" s="35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</row>
    <row r="726" spans="1:47" s="203" customFormat="1" ht="12">
      <c r="A726" s="58" t="s">
        <v>1229</v>
      </c>
      <c r="B726" s="27" t="s">
        <v>701</v>
      </c>
      <c r="C726" s="27"/>
      <c r="D726" s="175" t="s">
        <v>789</v>
      </c>
      <c r="E726" s="170" t="s">
        <v>91</v>
      </c>
      <c r="F726" s="159">
        <v>60</v>
      </c>
      <c r="G726" s="31"/>
      <c r="H726" s="50">
        <f t="shared" si="35"/>
        <v>0</v>
      </c>
      <c r="J726" s="164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F726" s="35"/>
      <c r="AG726" s="35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</row>
    <row r="727" spans="1:47" s="203" customFormat="1" ht="12">
      <c r="A727" s="58" t="s">
        <v>1230</v>
      </c>
      <c r="B727" s="27" t="s">
        <v>791</v>
      </c>
      <c r="C727" s="27"/>
      <c r="D727" s="175" t="s">
        <v>785</v>
      </c>
      <c r="E727" s="170" t="s">
        <v>91</v>
      </c>
      <c r="F727" s="159">
        <v>60</v>
      </c>
      <c r="G727" s="31"/>
      <c r="H727" s="50">
        <f t="shared" si="35"/>
        <v>0</v>
      </c>
      <c r="J727" s="164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F727" s="35"/>
      <c r="AG727" s="35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</row>
    <row r="728" spans="1:47" s="203" customFormat="1" ht="12">
      <c r="A728" s="58" t="s">
        <v>1231</v>
      </c>
      <c r="B728" s="27" t="s">
        <v>1334</v>
      </c>
      <c r="C728" s="27"/>
      <c r="D728" s="175" t="s">
        <v>787</v>
      </c>
      <c r="E728" s="170" t="s">
        <v>91</v>
      </c>
      <c r="F728" s="159">
        <v>60</v>
      </c>
      <c r="G728" s="31"/>
      <c r="H728" s="50">
        <f t="shared" si="35"/>
        <v>0</v>
      </c>
      <c r="J728" s="164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F728" s="35"/>
      <c r="AG728" s="35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</row>
    <row r="729" spans="1:47" s="203" customFormat="1" ht="12">
      <c r="A729" s="58" t="s">
        <v>1232</v>
      </c>
      <c r="B729" s="27"/>
      <c r="C729" s="27"/>
      <c r="D729" s="86"/>
      <c r="E729" s="170"/>
      <c r="F729" s="159"/>
      <c r="G729" s="31"/>
      <c r="H729" s="50"/>
      <c r="J729" s="164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F729" s="35"/>
      <c r="AG729" s="35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</row>
    <row r="730" spans="1:47" s="203" customFormat="1" ht="24">
      <c r="A730" s="58" t="s">
        <v>1233</v>
      </c>
      <c r="B730" s="27" t="s">
        <v>1329</v>
      </c>
      <c r="C730" s="27"/>
      <c r="D730" s="86" t="s">
        <v>795</v>
      </c>
      <c r="E730" s="170" t="s">
        <v>796</v>
      </c>
      <c r="F730" s="159">
        <v>504</v>
      </c>
      <c r="G730" s="31"/>
      <c r="H730" s="50">
        <f t="shared" si="35"/>
        <v>0</v>
      </c>
      <c r="J730" s="164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F730" s="35"/>
      <c r="AG730" s="35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</row>
    <row r="731" spans="1:47" s="203" customFormat="1" ht="12">
      <c r="A731" s="58" t="s">
        <v>1234</v>
      </c>
      <c r="B731" s="27"/>
      <c r="C731" s="27"/>
      <c r="D731" s="86"/>
      <c r="E731" s="170"/>
      <c r="F731" s="159"/>
      <c r="G731" s="31"/>
      <c r="H731" s="50"/>
      <c r="J731" s="164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F731" s="35"/>
      <c r="AG731" s="35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</row>
    <row r="732" spans="1:47" s="203" customFormat="1" ht="24">
      <c r="A732" s="58" t="s">
        <v>1235</v>
      </c>
      <c r="B732" s="27" t="s">
        <v>1331</v>
      </c>
      <c r="C732" s="27"/>
      <c r="D732" s="189" t="s">
        <v>799</v>
      </c>
      <c r="E732" s="170" t="s">
        <v>796</v>
      </c>
      <c r="F732" s="177">
        <v>410</v>
      </c>
      <c r="G732" s="31"/>
      <c r="H732" s="50">
        <f t="shared" si="35"/>
        <v>0</v>
      </c>
      <c r="J732" s="164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F732" s="35"/>
      <c r="AG732" s="35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</row>
    <row r="733" spans="1:47" s="203" customFormat="1" ht="36">
      <c r="A733" s="58" t="s">
        <v>1236</v>
      </c>
      <c r="B733" s="27" t="s">
        <v>798</v>
      </c>
      <c r="C733" s="27"/>
      <c r="D733" s="189" t="s">
        <v>1332</v>
      </c>
      <c r="E733" s="170" t="s">
        <v>796</v>
      </c>
      <c r="F733" s="177">
        <f>416+154</f>
        <v>570</v>
      </c>
      <c r="G733" s="31"/>
      <c r="H733" s="50">
        <f t="shared" si="35"/>
        <v>0</v>
      </c>
      <c r="J733" s="164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F733" s="35"/>
      <c r="AG733" s="35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</row>
    <row r="734" spans="1:47" s="203" customFormat="1" ht="24">
      <c r="A734" s="58" t="s">
        <v>1237</v>
      </c>
      <c r="B734" s="27" t="s">
        <v>802</v>
      </c>
      <c r="C734" s="27"/>
      <c r="D734" s="189" t="s">
        <v>1335</v>
      </c>
      <c r="E734" s="170" t="s">
        <v>796</v>
      </c>
      <c r="F734" s="177">
        <v>410</v>
      </c>
      <c r="G734" s="31"/>
      <c r="H734" s="50">
        <f t="shared" si="35"/>
        <v>0</v>
      </c>
      <c r="J734" s="164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F734" s="35"/>
      <c r="AG734" s="35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</row>
    <row r="735" spans="1:47" s="203" customFormat="1" ht="36">
      <c r="A735" s="58" t="s">
        <v>1238</v>
      </c>
      <c r="B735" s="26" t="s">
        <v>804</v>
      </c>
      <c r="C735" s="27"/>
      <c r="D735" s="175" t="s">
        <v>1336</v>
      </c>
      <c r="E735" s="170" t="s">
        <v>796</v>
      </c>
      <c r="F735" s="177">
        <v>410</v>
      </c>
      <c r="G735" s="31"/>
      <c r="H735" s="50">
        <f t="shared" si="35"/>
        <v>0</v>
      </c>
      <c r="J735" s="164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F735" s="35"/>
      <c r="AG735" s="35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</row>
    <row r="736" spans="1:47" s="203" customFormat="1" ht="24">
      <c r="A736" s="58" t="s">
        <v>1239</v>
      </c>
      <c r="B736" s="27" t="s">
        <v>802</v>
      </c>
      <c r="C736" s="27"/>
      <c r="D736" s="175" t="s">
        <v>806</v>
      </c>
      <c r="E736" s="170" t="s">
        <v>796</v>
      </c>
      <c r="F736" s="177">
        <v>57</v>
      </c>
      <c r="G736" s="31"/>
      <c r="H736" s="50">
        <f t="shared" si="35"/>
        <v>0</v>
      </c>
      <c r="J736" s="164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F736" s="35"/>
      <c r="AG736" s="35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</row>
    <row r="737" spans="1:47" s="203" customFormat="1" ht="12">
      <c r="A737" s="58" t="s">
        <v>1240</v>
      </c>
      <c r="B737" s="27" t="s">
        <v>1337</v>
      </c>
      <c r="C737" s="27"/>
      <c r="D737" s="175" t="s">
        <v>808</v>
      </c>
      <c r="E737" s="170" t="s">
        <v>796</v>
      </c>
      <c r="F737" s="177">
        <v>91</v>
      </c>
      <c r="G737" s="31"/>
      <c r="H737" s="50">
        <f t="shared" si="35"/>
        <v>0</v>
      </c>
      <c r="J737" s="164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F737" s="35"/>
      <c r="AG737" s="35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</row>
    <row r="738" spans="1:47" s="203" customFormat="1" ht="36">
      <c r="A738" s="58" t="s">
        <v>1241</v>
      </c>
      <c r="B738" s="27" t="s">
        <v>798</v>
      </c>
      <c r="C738" s="27"/>
      <c r="D738" s="175" t="s">
        <v>1325</v>
      </c>
      <c r="E738" s="170" t="s">
        <v>796</v>
      </c>
      <c r="F738" s="177">
        <v>2</v>
      </c>
      <c r="G738" s="31"/>
      <c r="H738" s="50">
        <f t="shared" si="35"/>
        <v>0</v>
      </c>
      <c r="J738" s="164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F738" s="35"/>
      <c r="AG738" s="35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</row>
    <row r="739" spans="1:47" s="203" customFormat="1" ht="24">
      <c r="A739" s="58" t="s">
        <v>1242</v>
      </c>
      <c r="B739" s="27" t="s">
        <v>1338</v>
      </c>
      <c r="C739" s="27"/>
      <c r="D739" s="175" t="s">
        <v>811</v>
      </c>
      <c r="E739" s="170" t="s">
        <v>796</v>
      </c>
      <c r="F739" s="177">
        <v>2</v>
      </c>
      <c r="G739" s="31"/>
      <c r="H739" s="50">
        <f t="shared" si="35"/>
        <v>0</v>
      </c>
      <c r="J739" s="164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F739" s="35"/>
      <c r="AG739" s="35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</row>
    <row r="740" spans="1:47" s="203" customFormat="1" ht="24">
      <c r="A740" s="58" t="s">
        <v>1243</v>
      </c>
      <c r="B740" s="27" t="s">
        <v>1339</v>
      </c>
      <c r="C740" s="27"/>
      <c r="D740" s="86" t="s">
        <v>813</v>
      </c>
      <c r="E740" s="170" t="s">
        <v>672</v>
      </c>
      <c r="F740" s="159">
        <v>3.0000000000000001E-3</v>
      </c>
      <c r="G740" s="31">
        <f>SUM(H662:H739)</f>
        <v>0</v>
      </c>
      <c r="H740" s="50">
        <f t="shared" si="35"/>
        <v>0</v>
      </c>
      <c r="J740" s="164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F740" s="35"/>
      <c r="AG740" s="35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</row>
    <row r="741" spans="1:47" s="203" customFormat="1" ht="12">
      <c r="A741" s="58" t="s">
        <v>1244</v>
      </c>
      <c r="B741" s="27"/>
      <c r="C741" s="27"/>
      <c r="D741" s="175"/>
      <c r="E741" s="43"/>
      <c r="F741" s="177"/>
      <c r="G741" s="31"/>
      <c r="H741" s="50"/>
      <c r="J741" s="164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F741" s="35"/>
      <c r="AG741" s="35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</row>
    <row r="742" spans="1:47" s="203" customFormat="1" ht="36">
      <c r="A742" s="58" t="s">
        <v>1245</v>
      </c>
      <c r="B742" s="27" t="s">
        <v>1341</v>
      </c>
      <c r="C742" s="27"/>
      <c r="D742" s="175" t="s">
        <v>816</v>
      </c>
      <c r="E742" s="43" t="s">
        <v>41</v>
      </c>
      <c r="F742" s="30">
        <f>SUM(F55+F65+F73)</f>
        <v>2268.7898</v>
      </c>
      <c r="G742" s="31"/>
      <c r="H742" s="50">
        <f t="shared" si="35"/>
        <v>0</v>
      </c>
      <c r="J742" s="20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F742" s="35"/>
      <c r="AG742" s="35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</row>
    <row r="743" spans="1:47" s="203" customFormat="1" ht="19.2">
      <c r="A743" s="58" t="s">
        <v>1246</v>
      </c>
      <c r="B743" s="27" t="s">
        <v>818</v>
      </c>
      <c r="C743" s="27"/>
      <c r="D743" s="175" t="s">
        <v>819</v>
      </c>
      <c r="E743" s="43" t="s">
        <v>91</v>
      </c>
      <c r="F743" s="30">
        <v>2</v>
      </c>
      <c r="G743" s="31"/>
      <c r="H743" s="50">
        <f t="shared" si="35"/>
        <v>0</v>
      </c>
      <c r="J743" s="164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F743" s="35"/>
      <c r="AG743" s="35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</row>
    <row r="744" spans="1:47" s="203" customFormat="1" ht="27" customHeight="1">
      <c r="A744" s="58" t="s">
        <v>1247</v>
      </c>
      <c r="B744" s="27"/>
      <c r="C744" s="27"/>
      <c r="D744" s="189" t="s">
        <v>1340</v>
      </c>
      <c r="E744" s="43"/>
      <c r="F744" s="177"/>
      <c r="G744" s="31"/>
      <c r="H744" s="50"/>
      <c r="J744" s="164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F744" s="35"/>
      <c r="AG744" s="35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</row>
    <row r="745" spans="1:47" s="203" customFormat="1" ht="12">
      <c r="A745" s="58" t="s">
        <v>1248</v>
      </c>
      <c r="B745" s="27"/>
      <c r="C745" s="27"/>
      <c r="D745" s="173" t="s">
        <v>824</v>
      </c>
      <c r="E745" s="262"/>
      <c r="F745" s="177"/>
      <c r="G745" s="31"/>
      <c r="H745" s="50"/>
      <c r="I745" s="206">
        <f>SUM(I747:I752)</f>
        <v>3.0199999999999996</v>
      </c>
      <c r="J745" s="164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F745" s="35"/>
      <c r="AG745" s="35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</row>
    <row r="746" spans="1:47" s="203" customFormat="1" ht="12">
      <c r="A746" s="58" t="s">
        <v>1249</v>
      </c>
      <c r="B746" s="27"/>
      <c r="C746" s="27"/>
      <c r="D746" s="175"/>
      <c r="E746" s="43"/>
      <c r="F746" s="177"/>
      <c r="G746" s="31"/>
      <c r="H746" s="50"/>
      <c r="I746" s="206"/>
      <c r="J746" s="164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F746" s="35"/>
      <c r="AG746" s="35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</row>
    <row r="747" spans="1:47" s="203" customFormat="1" ht="24">
      <c r="A747" s="58" t="s">
        <v>1250</v>
      </c>
      <c r="B747" s="27" t="s">
        <v>1342</v>
      </c>
      <c r="C747" s="27"/>
      <c r="D747" s="175" t="s">
        <v>829</v>
      </c>
      <c r="E747" s="43" t="s">
        <v>91</v>
      </c>
      <c r="F747" s="177">
        <v>410</v>
      </c>
      <c r="G747" s="31"/>
      <c r="H747" s="50">
        <f t="shared" si="35"/>
        <v>0</v>
      </c>
      <c r="I747" s="207">
        <f>ROUND((F747*0.00278),2)</f>
        <v>1.1399999999999999</v>
      </c>
      <c r="J747" s="164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F747" s="35"/>
      <c r="AG747" s="35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</row>
    <row r="748" spans="1:47" s="203" customFormat="1" ht="24">
      <c r="A748" s="58" t="s">
        <v>1251</v>
      </c>
      <c r="B748" s="27" t="s">
        <v>1342</v>
      </c>
      <c r="C748" s="27"/>
      <c r="D748" s="175" t="s">
        <v>831</v>
      </c>
      <c r="E748" s="43" t="s">
        <v>91</v>
      </c>
      <c r="F748" s="177">
        <v>410</v>
      </c>
      <c r="G748" s="31"/>
      <c r="H748" s="50">
        <f t="shared" si="35"/>
        <v>0</v>
      </c>
      <c r="I748" s="207">
        <f>ROUND((F748*0.00278),2)</f>
        <v>1.1399999999999999</v>
      </c>
      <c r="J748" s="164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F748" s="35"/>
      <c r="AG748" s="35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</row>
    <row r="749" spans="1:47" s="203" customFormat="1" ht="24">
      <c r="A749" s="58" t="s">
        <v>1252</v>
      </c>
      <c r="B749" s="27" t="s">
        <v>826</v>
      </c>
      <c r="C749" s="27"/>
      <c r="D749" s="175" t="s">
        <v>827</v>
      </c>
      <c r="E749" s="43" t="s">
        <v>91</v>
      </c>
      <c r="F749" s="177">
        <v>57</v>
      </c>
      <c r="G749" s="31"/>
      <c r="H749" s="50">
        <f t="shared" si="35"/>
        <v>0</v>
      </c>
      <c r="I749" s="207">
        <f>ROUND((F749*0.00432),2)</f>
        <v>0.25</v>
      </c>
      <c r="J749" s="164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F749" s="35"/>
      <c r="AG749" s="35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</row>
    <row r="750" spans="1:47" s="203" customFormat="1" ht="24">
      <c r="A750" s="58" t="s">
        <v>1253</v>
      </c>
      <c r="B750" s="27" t="s">
        <v>826</v>
      </c>
      <c r="C750" s="27"/>
      <c r="D750" s="175" t="s">
        <v>834</v>
      </c>
      <c r="E750" s="43" t="s">
        <v>91</v>
      </c>
      <c r="F750" s="177">
        <v>91</v>
      </c>
      <c r="G750" s="31"/>
      <c r="H750" s="50">
        <f t="shared" si="35"/>
        <v>0</v>
      </c>
      <c r="I750" s="207">
        <f>ROUND((F750*0.00432),2)</f>
        <v>0.39</v>
      </c>
      <c r="J750" s="164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F750" s="35"/>
      <c r="AG750" s="35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</row>
    <row r="751" spans="1:47" s="203" customFormat="1" ht="24">
      <c r="A751" s="58" t="s">
        <v>1254</v>
      </c>
      <c r="B751" s="27" t="s">
        <v>1126</v>
      </c>
      <c r="C751" s="27"/>
      <c r="D751" s="175" t="s">
        <v>836</v>
      </c>
      <c r="E751" s="43" t="s">
        <v>91</v>
      </c>
      <c r="F751" s="177">
        <v>2</v>
      </c>
      <c r="G751" s="31"/>
      <c r="H751" s="50">
        <f t="shared" si="35"/>
        <v>0</v>
      </c>
      <c r="I751" s="207">
        <f>ROUND((F751*0.0238),2)</f>
        <v>0.05</v>
      </c>
      <c r="J751" s="164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F751" s="35"/>
      <c r="AG751" s="35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</row>
    <row r="752" spans="1:47" s="203" customFormat="1" ht="24">
      <c r="A752" s="58" t="s">
        <v>1255</v>
      </c>
      <c r="B752" s="27" t="s">
        <v>1126</v>
      </c>
      <c r="C752" s="27"/>
      <c r="D752" s="175" t="s">
        <v>838</v>
      </c>
      <c r="E752" s="43" t="s">
        <v>91</v>
      </c>
      <c r="F752" s="177">
        <v>2</v>
      </c>
      <c r="G752" s="31"/>
      <c r="H752" s="50">
        <f t="shared" si="35"/>
        <v>0</v>
      </c>
      <c r="I752" s="207">
        <f>ROUND((F752*0.0238),2)</f>
        <v>0.05</v>
      </c>
      <c r="J752" s="164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F752" s="35"/>
      <c r="AG752" s="35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</row>
    <row r="753" spans="1:47" s="203" customFormat="1" ht="12">
      <c r="A753" s="58" t="s">
        <v>1256</v>
      </c>
      <c r="B753" s="27" t="s">
        <v>1154</v>
      </c>
      <c r="C753" s="27"/>
      <c r="D753" s="175" t="s">
        <v>1343</v>
      </c>
      <c r="E753" s="43" t="s">
        <v>6</v>
      </c>
      <c r="F753" s="177">
        <v>3.0000000000000001E-3</v>
      </c>
      <c r="G753" s="31">
        <f>SUM(H746:H752)</f>
        <v>0</v>
      </c>
      <c r="H753" s="50">
        <f t="shared" si="35"/>
        <v>0</v>
      </c>
      <c r="I753" s="50"/>
      <c r="J753" s="164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F753" s="35"/>
      <c r="AG753" s="35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</row>
    <row r="754" spans="1:47" s="203" customFormat="1" ht="12">
      <c r="A754" s="58" t="s">
        <v>1257</v>
      </c>
      <c r="B754" s="27"/>
      <c r="C754" s="27"/>
      <c r="D754" s="175"/>
      <c r="E754" s="43"/>
      <c r="F754" s="177"/>
      <c r="G754" s="31"/>
      <c r="H754" s="50"/>
      <c r="I754" s="50"/>
      <c r="J754" s="164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F754" s="35"/>
      <c r="AG754" s="35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</row>
    <row r="755" spans="1:47" s="122" customFormat="1" ht="13.8">
      <c r="A755" s="58" t="s">
        <v>1258</v>
      </c>
      <c r="B755" s="44"/>
      <c r="C755" s="45"/>
      <c r="D755" s="85"/>
      <c r="E755" s="260"/>
      <c r="F755" s="48"/>
      <c r="G755" s="49"/>
      <c r="H755" s="50"/>
      <c r="J755" s="34"/>
      <c r="AQ755" s="123"/>
    </row>
    <row r="756" spans="1:47" s="203" customFormat="1" ht="13.95" customHeight="1">
      <c r="A756" s="58" t="s">
        <v>1259</v>
      </c>
      <c r="B756" s="160"/>
      <c r="C756" s="28"/>
      <c r="D756" s="28" t="s">
        <v>852</v>
      </c>
      <c r="E756" s="261"/>
      <c r="F756" s="38"/>
      <c r="G756" s="31"/>
      <c r="H756" s="50"/>
      <c r="J756" s="209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F756" s="35"/>
      <c r="AG756" s="35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</row>
    <row r="757" spans="1:47" s="122" customFormat="1" ht="24.6">
      <c r="A757" s="58" t="s">
        <v>1260</v>
      </c>
      <c r="B757" s="210"/>
      <c r="C757" s="45"/>
      <c r="D757" s="175" t="s">
        <v>854</v>
      </c>
      <c r="E757" s="260"/>
      <c r="F757" s="49"/>
      <c r="G757" s="49"/>
      <c r="H757" s="50"/>
      <c r="J757" s="34"/>
      <c r="AQ757" s="123"/>
    </row>
    <row r="758" spans="1:47" s="122" customFormat="1" ht="30.6">
      <c r="A758" s="58" t="s">
        <v>1261</v>
      </c>
      <c r="B758" s="210" t="s">
        <v>857</v>
      </c>
      <c r="C758" s="45" t="s">
        <v>858</v>
      </c>
      <c r="D758" s="86" t="s">
        <v>859</v>
      </c>
      <c r="E758" s="260" t="s">
        <v>41</v>
      </c>
      <c r="F758" s="49">
        <v>6</v>
      </c>
      <c r="G758" s="49"/>
      <c r="H758" s="50">
        <f t="shared" si="35"/>
        <v>0</v>
      </c>
      <c r="J758" s="34"/>
      <c r="AQ758" s="123"/>
    </row>
    <row r="759" spans="1:47" s="122" customFormat="1" ht="24">
      <c r="A759" s="58" t="s">
        <v>1262</v>
      </c>
      <c r="B759" s="44" t="s">
        <v>861</v>
      </c>
      <c r="D759" s="115" t="s">
        <v>862</v>
      </c>
      <c r="E759" s="260" t="s">
        <v>41</v>
      </c>
      <c r="F759" s="49">
        <v>6</v>
      </c>
      <c r="G759" s="49"/>
      <c r="H759" s="50">
        <f t="shared" si="35"/>
        <v>0</v>
      </c>
      <c r="J759" s="34"/>
      <c r="AQ759" s="123"/>
    </row>
    <row r="760" spans="1:47" s="122" customFormat="1" ht="24">
      <c r="A760" s="58" t="s">
        <v>1263</v>
      </c>
      <c r="B760" s="44">
        <v>998713203</v>
      </c>
      <c r="D760" s="86" t="s">
        <v>865</v>
      </c>
      <c r="E760" s="260" t="s">
        <v>6</v>
      </c>
      <c r="F760" s="49">
        <v>2.1999999999999999E-2</v>
      </c>
      <c r="G760" s="49">
        <f>SUM(H758:H759)</f>
        <v>0</v>
      </c>
      <c r="H760" s="50">
        <f t="shared" si="35"/>
        <v>0</v>
      </c>
      <c r="J760" s="142"/>
      <c r="AQ760" s="123"/>
    </row>
    <row r="761" spans="1:47" s="122" customFormat="1" ht="13.8">
      <c r="A761" s="58" t="s">
        <v>1264</v>
      </c>
      <c r="B761" s="44"/>
      <c r="C761" s="45"/>
      <c r="D761" s="85"/>
      <c r="E761" s="260"/>
      <c r="F761" s="48"/>
      <c r="G761" s="49"/>
      <c r="H761" s="89"/>
      <c r="J761" s="34"/>
      <c r="AQ761" s="123"/>
    </row>
    <row r="762" spans="1:47" s="203" customFormat="1" ht="12">
      <c r="A762" s="58" t="s">
        <v>1265</v>
      </c>
      <c r="B762" s="27"/>
      <c r="C762" s="27"/>
      <c r="D762" s="35"/>
      <c r="E762" s="261"/>
      <c r="F762" s="177"/>
      <c r="G762" s="21"/>
      <c r="H762" s="20"/>
      <c r="J762" s="164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F762" s="35"/>
      <c r="AG762" s="35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</row>
    <row r="763" spans="1:47" s="203" customFormat="1" ht="13.8">
      <c r="A763" s="58" t="s">
        <v>1266</v>
      </c>
      <c r="B763" s="26" t="s">
        <v>869</v>
      </c>
      <c r="C763" s="27"/>
      <c r="D763" s="157" t="s">
        <v>9</v>
      </c>
      <c r="E763" s="261" t="s">
        <v>6</v>
      </c>
      <c r="F763" s="211" t="s">
        <v>38</v>
      </c>
      <c r="G763" s="21"/>
      <c r="H763" s="20">
        <f>H765+H774+H781</f>
        <v>0</v>
      </c>
      <c r="J763" s="164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F763" s="35"/>
      <c r="AG763" s="35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</row>
    <row r="764" spans="1:47" s="203" customFormat="1" ht="12">
      <c r="A764" s="58" t="s">
        <v>1267</v>
      </c>
      <c r="B764" s="26"/>
      <c r="C764" s="27"/>
      <c r="D764" s="28"/>
      <c r="E764" s="261"/>
      <c r="F764" s="159"/>
      <c r="G764" s="21"/>
      <c r="H764" s="20"/>
      <c r="J764" s="164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F764" s="35"/>
      <c r="AG764" s="35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</row>
    <row r="765" spans="1:47" s="203" customFormat="1" ht="12">
      <c r="A765" s="58" t="s">
        <v>1268</v>
      </c>
      <c r="B765" s="212"/>
      <c r="C765" s="213"/>
      <c r="D765" s="214" t="s">
        <v>872</v>
      </c>
      <c r="E765" s="266" t="s">
        <v>6</v>
      </c>
      <c r="F765" s="216" t="s">
        <v>213</v>
      </c>
      <c r="G765" s="217"/>
      <c r="H765" s="218">
        <f>SUM(H767:H772)</f>
        <v>0</v>
      </c>
      <c r="J765" s="219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F765" s="35"/>
      <c r="AG765" s="35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</row>
    <row r="766" spans="1:47" s="203" customFormat="1" ht="12">
      <c r="A766" s="58" t="s">
        <v>1269</v>
      </c>
      <c r="B766" s="212"/>
      <c r="C766" s="213"/>
      <c r="D766" s="220" t="s">
        <v>874</v>
      </c>
      <c r="E766" s="267"/>
      <c r="F766" s="222"/>
      <c r="G766" s="223"/>
      <c r="H766" s="224"/>
      <c r="J766" s="219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F766" s="35"/>
      <c r="AG766" s="35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</row>
    <row r="767" spans="1:47" s="203" customFormat="1" ht="12">
      <c r="A767" s="58" t="s">
        <v>1270</v>
      </c>
      <c r="B767" s="212" t="s">
        <v>1344</v>
      </c>
      <c r="C767" s="213"/>
      <c r="D767" s="225" t="s">
        <v>876</v>
      </c>
      <c r="E767" s="267" t="s">
        <v>168</v>
      </c>
      <c r="F767" s="222">
        <v>4</v>
      </c>
      <c r="G767" s="223"/>
      <c r="H767" s="50">
        <f t="shared" ref="H767" si="36">ROUND((F767*G767),2)</f>
        <v>0</v>
      </c>
      <c r="J767" s="219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F767" s="35"/>
      <c r="AG767" s="35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</row>
    <row r="768" spans="1:47" s="203" customFormat="1" ht="12">
      <c r="A768" s="58" t="s">
        <v>1271</v>
      </c>
      <c r="B768" s="212"/>
      <c r="C768" s="213"/>
      <c r="D768" s="225" t="s">
        <v>878</v>
      </c>
      <c r="E768" s="267"/>
      <c r="F768" s="222"/>
      <c r="G768" s="223"/>
      <c r="H768" s="224"/>
      <c r="J768" s="219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F768" s="35"/>
      <c r="AG768" s="35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</row>
    <row r="769" spans="1:47" s="203" customFormat="1" ht="12">
      <c r="A769" s="58" t="s">
        <v>1272</v>
      </c>
      <c r="B769" s="212" t="s">
        <v>1345</v>
      </c>
      <c r="C769" s="213"/>
      <c r="D769" s="225" t="s">
        <v>1346</v>
      </c>
      <c r="E769" s="267" t="s">
        <v>168</v>
      </c>
      <c r="F769" s="222">
        <v>4</v>
      </c>
      <c r="G769" s="223"/>
      <c r="H769" s="50">
        <f t="shared" ref="H769:H770" si="37">ROUND((F769*G769),2)</f>
        <v>0</v>
      </c>
      <c r="J769" s="219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F769" s="35"/>
      <c r="AG769" s="35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</row>
    <row r="770" spans="1:47" s="203" customFormat="1" ht="12">
      <c r="A770" s="58" t="s">
        <v>1273</v>
      </c>
      <c r="B770" s="212" t="s">
        <v>881</v>
      </c>
      <c r="C770" s="213"/>
      <c r="D770" s="225" t="s">
        <v>882</v>
      </c>
      <c r="E770" s="267" t="s">
        <v>168</v>
      </c>
      <c r="F770" s="222">
        <v>4</v>
      </c>
      <c r="G770" s="223"/>
      <c r="H770" s="50">
        <f t="shared" si="37"/>
        <v>0</v>
      </c>
      <c r="J770" s="219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F770" s="35"/>
      <c r="AG770" s="35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</row>
    <row r="771" spans="1:47" s="203" customFormat="1" ht="12">
      <c r="A771" s="58" t="s">
        <v>1274</v>
      </c>
      <c r="B771" s="212" t="s">
        <v>884</v>
      </c>
      <c r="C771" s="213"/>
      <c r="D771" s="220" t="s">
        <v>885</v>
      </c>
      <c r="E771" s="267"/>
      <c r="F771" s="222"/>
      <c r="G771" s="223"/>
      <c r="H771" s="224"/>
      <c r="J771" s="219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F771" s="35"/>
      <c r="AG771" s="35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</row>
    <row r="772" spans="1:47" s="203" customFormat="1" ht="24">
      <c r="A772" s="58" t="s">
        <v>1275</v>
      </c>
      <c r="B772" s="212" t="s">
        <v>1347</v>
      </c>
      <c r="C772" s="213"/>
      <c r="D772" s="225" t="s">
        <v>1348</v>
      </c>
      <c r="E772" s="267" t="s">
        <v>168</v>
      </c>
      <c r="F772" s="222">
        <v>4</v>
      </c>
      <c r="G772" s="223"/>
      <c r="H772" s="114">
        <f t="shared" ref="H772" si="38">ROUND((F772*G772),2)</f>
        <v>0</v>
      </c>
      <c r="J772" s="219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F772" s="35"/>
      <c r="AG772" s="35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</row>
    <row r="773" spans="1:47" s="203" customFormat="1" ht="12">
      <c r="A773" s="58" t="s">
        <v>1276</v>
      </c>
      <c r="B773" s="27"/>
      <c r="C773" s="27"/>
      <c r="D773" s="173"/>
      <c r="E773" s="261"/>
      <c r="F773" s="57"/>
      <c r="G773" s="21"/>
      <c r="H773" s="20"/>
      <c r="J773" s="164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F773" s="35"/>
      <c r="AG773" s="35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</row>
    <row r="774" spans="1:47" s="203" customFormat="1" ht="12">
      <c r="A774" s="58" t="s">
        <v>1277</v>
      </c>
      <c r="B774" s="212"/>
      <c r="C774" s="213"/>
      <c r="D774" s="214" t="s">
        <v>889</v>
      </c>
      <c r="E774" s="266" t="s">
        <v>6</v>
      </c>
      <c r="F774" s="216" t="s">
        <v>213</v>
      </c>
      <c r="G774" s="223"/>
      <c r="H774" s="218">
        <f>SUM(H775:H779)</f>
        <v>0</v>
      </c>
      <c r="J774" s="219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F774" s="35"/>
      <c r="AG774" s="35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</row>
    <row r="775" spans="1:47" s="203" customFormat="1" ht="24">
      <c r="A775" s="58" t="s">
        <v>1278</v>
      </c>
      <c r="B775" s="212" t="s">
        <v>891</v>
      </c>
      <c r="C775" s="213"/>
      <c r="D775" s="225" t="s">
        <v>1157</v>
      </c>
      <c r="E775" s="267" t="s">
        <v>168</v>
      </c>
      <c r="F775" s="222">
        <v>10</v>
      </c>
      <c r="G775" s="223"/>
      <c r="H775" s="50">
        <f t="shared" ref="H775:H781" si="39">ROUND((F775*G775),2)</f>
        <v>0</v>
      </c>
      <c r="J775" s="219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F775" s="35"/>
      <c r="AG775" s="35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</row>
    <row r="776" spans="1:47" s="203" customFormat="1" ht="12">
      <c r="A776" s="58" t="s">
        <v>1279</v>
      </c>
      <c r="B776" s="212" t="s">
        <v>893</v>
      </c>
      <c r="C776" s="213"/>
      <c r="D776" s="225" t="s">
        <v>894</v>
      </c>
      <c r="E776" s="267" t="s">
        <v>168</v>
      </c>
      <c r="F776" s="222">
        <v>10</v>
      </c>
      <c r="G776" s="223"/>
      <c r="H776" s="50">
        <f t="shared" si="39"/>
        <v>0</v>
      </c>
      <c r="J776" s="219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F776" s="35"/>
      <c r="AG776" s="35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</row>
    <row r="777" spans="1:47" s="203" customFormat="1" ht="12">
      <c r="A777" s="58" t="s">
        <v>1280</v>
      </c>
      <c r="B777" s="212" t="s">
        <v>896</v>
      </c>
      <c r="C777" s="213"/>
      <c r="D777" s="225" t="s">
        <v>897</v>
      </c>
      <c r="E777" s="267" t="s">
        <v>91</v>
      </c>
      <c r="F777" s="222">
        <v>10</v>
      </c>
      <c r="G777" s="223"/>
      <c r="H777" s="50">
        <f t="shared" si="39"/>
        <v>0</v>
      </c>
      <c r="J777" s="219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F777" s="35"/>
      <c r="AG777" s="35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</row>
    <row r="778" spans="1:47" s="203" customFormat="1" ht="12">
      <c r="A778" s="58" t="s">
        <v>1281</v>
      </c>
      <c r="B778" s="212"/>
      <c r="C778" s="213"/>
      <c r="D778" s="220" t="s">
        <v>899</v>
      </c>
      <c r="E778" s="268"/>
      <c r="F778" s="227"/>
      <c r="G778" s="228"/>
      <c r="H778" s="50"/>
      <c r="J778" s="229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F778" s="35"/>
      <c r="AG778" s="35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</row>
    <row r="779" spans="1:47" s="203" customFormat="1" ht="12">
      <c r="A779" s="58" t="s">
        <v>1282</v>
      </c>
      <c r="B779" s="212" t="s">
        <v>901</v>
      </c>
      <c r="C779" s="213"/>
      <c r="D779" s="225" t="s">
        <v>902</v>
      </c>
      <c r="E779" s="267" t="s">
        <v>168</v>
      </c>
      <c r="F779" s="222">
        <v>2</v>
      </c>
      <c r="G779" s="223"/>
      <c r="H779" s="50">
        <f t="shared" si="39"/>
        <v>0</v>
      </c>
      <c r="J779" s="219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F779" s="35"/>
      <c r="AG779" s="35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</row>
    <row r="780" spans="1:47" s="203" customFormat="1" ht="12">
      <c r="A780" s="58" t="s">
        <v>1283</v>
      </c>
      <c r="B780" s="212"/>
      <c r="C780" s="213"/>
      <c r="D780" s="225"/>
      <c r="E780" s="267"/>
      <c r="F780" s="222"/>
      <c r="G780" s="223"/>
      <c r="H780" s="50"/>
      <c r="J780" s="219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F780" s="35"/>
      <c r="AG780" s="35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</row>
    <row r="781" spans="1:47" s="203" customFormat="1" ht="24">
      <c r="A781" s="58" t="s">
        <v>1284</v>
      </c>
      <c r="B781" s="212">
        <v>998722203</v>
      </c>
      <c r="C781" s="213"/>
      <c r="D781" s="230" t="s">
        <v>957</v>
      </c>
      <c r="E781" s="269" t="s">
        <v>6</v>
      </c>
      <c r="F781" s="232">
        <v>1.12E-2</v>
      </c>
      <c r="G781" s="233">
        <f>H765+H774</f>
        <v>0</v>
      </c>
      <c r="H781" s="234">
        <f t="shared" si="39"/>
        <v>0</v>
      </c>
      <c r="J781" s="219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F781" s="35"/>
      <c r="AG781" s="35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</row>
    <row r="782" spans="1:47" s="203" customFormat="1" ht="12">
      <c r="A782" s="58" t="s">
        <v>1285</v>
      </c>
      <c r="B782" s="212"/>
      <c r="C782" s="213"/>
      <c r="D782" s="235" t="s">
        <v>956</v>
      </c>
      <c r="E782" s="269"/>
      <c r="F782" s="222"/>
      <c r="G782" s="236"/>
      <c r="H782" s="237"/>
      <c r="J782" s="219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F782" s="35"/>
      <c r="AG782" s="35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</row>
    <row r="783" spans="1:47" ht="12">
      <c r="A783" s="58" t="s">
        <v>1286</v>
      </c>
      <c r="B783" s="27"/>
      <c r="D783" s="173" t="s">
        <v>906</v>
      </c>
      <c r="E783" s="261" t="s">
        <v>672</v>
      </c>
      <c r="F783" s="211" t="s">
        <v>38</v>
      </c>
      <c r="G783" s="21"/>
      <c r="H783" s="20">
        <f>SUM(H784:H785)</f>
        <v>0</v>
      </c>
      <c r="I783" s="35"/>
    </row>
    <row r="784" spans="1:47" ht="24">
      <c r="A784" s="58" t="s">
        <v>1287</v>
      </c>
      <c r="B784" s="27" t="s">
        <v>1159</v>
      </c>
      <c r="D784" s="238" t="s">
        <v>1328</v>
      </c>
      <c r="E784" s="262" t="s">
        <v>91</v>
      </c>
      <c r="F784" s="159">
        <f>(9*2)</f>
        <v>18</v>
      </c>
      <c r="G784" s="21"/>
      <c r="H784" s="50">
        <f t="shared" ref="H784:H785" si="40">ROUND((F784*G784),2)</f>
        <v>0</v>
      </c>
      <c r="I784" s="22"/>
      <c r="J784" s="35"/>
      <c r="K784" s="239"/>
    </row>
    <row r="785" spans="1:47" ht="12">
      <c r="A785" s="58" t="s">
        <v>1288</v>
      </c>
      <c r="B785" s="27" t="s">
        <v>910</v>
      </c>
      <c r="D785" s="238" t="s">
        <v>1158</v>
      </c>
      <c r="E785" s="262" t="s">
        <v>88</v>
      </c>
      <c r="F785" s="159">
        <v>156</v>
      </c>
      <c r="G785" s="21"/>
      <c r="H785" s="50">
        <f t="shared" si="40"/>
        <v>0</v>
      </c>
      <c r="I785" s="35"/>
    </row>
    <row r="786" spans="1:47" s="203" customFormat="1" ht="12">
      <c r="A786" s="58" t="s">
        <v>1289</v>
      </c>
      <c r="B786" s="27"/>
      <c r="C786" s="27"/>
      <c r="D786" s="172"/>
      <c r="E786" s="261"/>
      <c r="F786" s="38"/>
      <c r="G786" s="21"/>
      <c r="H786" s="20"/>
      <c r="J786" s="164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F786" s="35"/>
      <c r="AG786" s="35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</row>
    <row r="787" spans="1:47" s="203" customFormat="1" ht="12">
      <c r="A787" s="58" t="s">
        <v>1290</v>
      </c>
      <c r="B787" s="26"/>
      <c r="C787" s="27"/>
      <c r="D787" s="240" t="s">
        <v>911</v>
      </c>
      <c r="E787" s="169" t="s">
        <v>6</v>
      </c>
      <c r="F787" s="211" t="s">
        <v>38</v>
      </c>
      <c r="G787" s="37"/>
      <c r="H787" s="39">
        <f>SUM(H788:H803)</f>
        <v>0</v>
      </c>
      <c r="J787" s="164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F787" s="35"/>
      <c r="AG787" s="35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</row>
    <row r="788" spans="1:47" s="203" customFormat="1" ht="12">
      <c r="A788" s="58" t="s">
        <v>1291</v>
      </c>
      <c r="B788" s="26">
        <v>32103000</v>
      </c>
      <c r="C788" s="27"/>
      <c r="D788" s="86" t="s">
        <v>952</v>
      </c>
      <c r="E788" s="43" t="s">
        <v>91</v>
      </c>
      <c r="F788" s="159">
        <v>1</v>
      </c>
      <c r="G788" s="31"/>
      <c r="H788" s="50">
        <f t="shared" ref="H788:H803" si="41">ROUND((F788*G788),2)</f>
        <v>0</v>
      </c>
      <c r="J788" s="164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F788" s="35"/>
      <c r="AG788" s="35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</row>
    <row r="789" spans="1:47" s="203" customFormat="1" ht="12">
      <c r="A789" s="58" t="s">
        <v>1292</v>
      </c>
      <c r="B789" s="26"/>
      <c r="C789" s="27"/>
      <c r="D789" s="86" t="s">
        <v>953</v>
      </c>
      <c r="E789" s="83" t="s">
        <v>91</v>
      </c>
      <c r="F789" s="159">
        <v>1</v>
      </c>
      <c r="G789" s="31"/>
      <c r="H789" s="50">
        <f t="shared" si="41"/>
        <v>0</v>
      </c>
      <c r="J789" s="164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F789" s="35"/>
      <c r="AG789" s="35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</row>
    <row r="790" spans="1:47" s="203" customFormat="1" ht="12">
      <c r="A790" s="58" t="s">
        <v>1293</v>
      </c>
      <c r="B790" s="26"/>
      <c r="C790" s="27"/>
      <c r="D790" s="35"/>
      <c r="E790" s="270"/>
      <c r="F790" s="177"/>
      <c r="G790" s="31"/>
      <c r="H790" s="32"/>
      <c r="J790" s="164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F790" s="35"/>
      <c r="AG790" s="35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</row>
    <row r="791" spans="1:47" s="203" customFormat="1" ht="12">
      <c r="A791" s="58" t="s">
        <v>1294</v>
      </c>
      <c r="B791" s="26">
        <v>34303000</v>
      </c>
      <c r="C791" s="27"/>
      <c r="D791" s="35" t="s">
        <v>913</v>
      </c>
      <c r="E791" s="43" t="s">
        <v>91</v>
      </c>
      <c r="F791" s="177">
        <v>2</v>
      </c>
      <c r="G791" s="31"/>
      <c r="H791" s="50">
        <f t="shared" si="41"/>
        <v>0</v>
      </c>
      <c r="J791" s="164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F791" s="35"/>
      <c r="AG791" s="35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</row>
    <row r="792" spans="1:47" s="203" customFormat="1" ht="24">
      <c r="A792" s="58" t="s">
        <v>1295</v>
      </c>
      <c r="B792" s="26">
        <v>34203000</v>
      </c>
      <c r="C792" s="27"/>
      <c r="D792" s="35" t="s">
        <v>950</v>
      </c>
      <c r="E792" s="43" t="s">
        <v>91</v>
      </c>
      <c r="F792" s="177">
        <v>1</v>
      </c>
      <c r="G792" s="31"/>
      <c r="H792" s="50">
        <f t="shared" si="41"/>
        <v>0</v>
      </c>
      <c r="J792" s="164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F792" s="35"/>
      <c r="AG792" s="35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</row>
    <row r="793" spans="1:47" s="203" customFormat="1" ht="12">
      <c r="A793" s="58" t="s">
        <v>1296</v>
      </c>
      <c r="B793" s="26">
        <v>34503000</v>
      </c>
      <c r="C793" s="27"/>
      <c r="D793" s="35" t="s">
        <v>914</v>
      </c>
      <c r="E793" s="43" t="s">
        <v>91</v>
      </c>
      <c r="F793" s="159">
        <v>2</v>
      </c>
      <c r="G793" s="31"/>
      <c r="H793" s="50">
        <f t="shared" si="41"/>
        <v>0</v>
      </c>
      <c r="J793" s="164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F793" s="35"/>
      <c r="AG793" s="35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</row>
    <row r="794" spans="1:47" s="203" customFormat="1" ht="12">
      <c r="A794" s="58" t="s">
        <v>1297</v>
      </c>
      <c r="B794" s="26">
        <v>39203000</v>
      </c>
      <c r="C794" s="27"/>
      <c r="D794" s="86" t="s">
        <v>951</v>
      </c>
      <c r="E794" s="270" t="s">
        <v>912</v>
      </c>
      <c r="F794" s="159">
        <v>1</v>
      </c>
      <c r="G794" s="31"/>
      <c r="H794" s="50">
        <f t="shared" si="41"/>
        <v>0</v>
      </c>
      <c r="J794" s="164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F794" s="35"/>
      <c r="AG794" s="35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</row>
    <row r="795" spans="1:47" s="203" customFormat="1" ht="12">
      <c r="A795" s="58" t="s">
        <v>1298</v>
      </c>
      <c r="B795" s="26"/>
      <c r="C795" s="27"/>
      <c r="D795" s="40" t="s">
        <v>1354</v>
      </c>
      <c r="E795" s="270"/>
      <c r="F795" s="177"/>
      <c r="G795" s="31"/>
      <c r="H795" s="32"/>
      <c r="J795" s="164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F795" s="35"/>
      <c r="AG795" s="35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</row>
    <row r="796" spans="1:47" s="203" customFormat="1" ht="12">
      <c r="A796" s="58" t="s">
        <v>1299</v>
      </c>
      <c r="B796" s="27" t="s">
        <v>1350</v>
      </c>
      <c r="C796" s="27"/>
      <c r="D796" s="35" t="s">
        <v>954</v>
      </c>
      <c r="E796" s="270" t="s">
        <v>912</v>
      </c>
      <c r="F796" s="177">
        <v>1</v>
      </c>
      <c r="G796" s="31"/>
      <c r="H796" s="50">
        <f t="shared" si="41"/>
        <v>0</v>
      </c>
      <c r="J796" s="164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F796" s="35"/>
      <c r="AG796" s="35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</row>
    <row r="797" spans="1:47" s="203" customFormat="1" ht="12">
      <c r="A797" s="58" t="s">
        <v>1300</v>
      </c>
      <c r="B797" s="26">
        <v>13254000</v>
      </c>
      <c r="C797" s="27"/>
      <c r="D797" s="35" t="s">
        <v>1152</v>
      </c>
      <c r="E797" s="270" t="s">
        <v>912</v>
      </c>
      <c r="F797" s="177">
        <v>1</v>
      </c>
      <c r="G797" s="31"/>
      <c r="H797" s="50">
        <f t="shared" si="41"/>
        <v>0</v>
      </c>
      <c r="J797" s="164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F797" s="35"/>
      <c r="AG797" s="35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</row>
    <row r="798" spans="1:47" s="203" customFormat="1" ht="12">
      <c r="A798" s="58" t="s">
        <v>1301</v>
      </c>
      <c r="B798" s="27" t="s">
        <v>1349</v>
      </c>
      <c r="C798" s="27"/>
      <c r="D798" s="35" t="s">
        <v>1155</v>
      </c>
      <c r="E798" s="270" t="s">
        <v>912</v>
      </c>
      <c r="F798" s="177">
        <v>1</v>
      </c>
      <c r="G798" s="31"/>
      <c r="H798" s="50">
        <f t="shared" si="41"/>
        <v>0</v>
      </c>
      <c r="J798" s="164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F798" s="35"/>
      <c r="AG798" s="35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</row>
    <row r="799" spans="1:47" s="203" customFormat="1" ht="12">
      <c r="A799" s="58" t="s">
        <v>1302</v>
      </c>
      <c r="B799" s="27" t="s">
        <v>1351</v>
      </c>
      <c r="C799" s="27"/>
      <c r="D799" s="35" t="s">
        <v>955</v>
      </c>
      <c r="E799" s="270" t="s">
        <v>912</v>
      </c>
      <c r="F799" s="159">
        <v>1</v>
      </c>
      <c r="G799" s="31"/>
      <c r="H799" s="50">
        <f t="shared" si="41"/>
        <v>0</v>
      </c>
      <c r="J799" s="164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F799" s="35"/>
      <c r="AG799" s="35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</row>
    <row r="800" spans="1:47" ht="60.6">
      <c r="A800" s="58" t="s">
        <v>1303</v>
      </c>
      <c r="B800" s="44">
        <v>91003000</v>
      </c>
      <c r="C800" s="45"/>
      <c r="D800" s="160" t="s">
        <v>1359</v>
      </c>
      <c r="E800" s="257" t="s">
        <v>912</v>
      </c>
      <c r="F800" s="48">
        <v>1</v>
      </c>
      <c r="G800" s="49"/>
      <c r="H800" s="50">
        <f t="shared" si="41"/>
        <v>0</v>
      </c>
      <c r="AQ800" s="36"/>
    </row>
    <row r="801" spans="1:43" ht="63.6" customHeight="1">
      <c r="A801" s="58" t="s">
        <v>1304</v>
      </c>
      <c r="B801" s="44">
        <v>91003000</v>
      </c>
      <c r="C801" s="45"/>
      <c r="D801" s="90" t="s">
        <v>1352</v>
      </c>
      <c r="E801" s="257" t="s">
        <v>912</v>
      </c>
      <c r="F801" s="48">
        <v>1</v>
      </c>
      <c r="G801" s="49"/>
      <c r="H801" s="50">
        <f t="shared" si="41"/>
        <v>0</v>
      </c>
      <c r="AQ801" s="36"/>
    </row>
    <row r="802" spans="1:43" ht="31.8" customHeight="1">
      <c r="A802" s="58" t="s">
        <v>1305</v>
      </c>
      <c r="B802" s="44">
        <v>997013501</v>
      </c>
      <c r="C802" s="45"/>
      <c r="D802" s="115" t="s">
        <v>1358</v>
      </c>
      <c r="E802" s="257" t="s">
        <v>117</v>
      </c>
      <c r="F802" s="48">
        <v>3.02</v>
      </c>
      <c r="G802" s="49"/>
      <c r="H802" s="50">
        <f t="shared" si="41"/>
        <v>0</v>
      </c>
      <c r="AQ802" s="36"/>
    </row>
    <row r="803" spans="1:43" ht="42.6" customHeight="1">
      <c r="A803" s="58" t="s">
        <v>1306</v>
      </c>
      <c r="B803" s="44">
        <v>997013509</v>
      </c>
      <c r="C803" s="45"/>
      <c r="D803" s="90" t="s">
        <v>1360</v>
      </c>
      <c r="E803" s="257" t="s">
        <v>117</v>
      </c>
      <c r="F803" s="48">
        <f>(3.02*20)</f>
        <v>60.4</v>
      </c>
      <c r="G803" s="49"/>
      <c r="H803" s="50">
        <f t="shared" si="41"/>
        <v>0</v>
      </c>
      <c r="AQ803" s="36"/>
    </row>
    <row r="804" spans="1:43" ht="13.95" customHeight="1">
      <c r="A804" s="58"/>
      <c r="B804" s="44"/>
      <c r="C804" s="45"/>
      <c r="D804" s="137"/>
      <c r="E804" s="258"/>
      <c r="F804" s="48"/>
      <c r="G804" s="49"/>
      <c r="H804" s="50"/>
      <c r="AQ804" s="36"/>
    </row>
    <row r="805" spans="1:43" ht="13.95" customHeight="1">
      <c r="A805" s="58"/>
      <c r="B805" s="44"/>
      <c r="C805" s="45"/>
      <c r="D805" s="137"/>
      <c r="E805" s="258"/>
      <c r="F805" s="48"/>
      <c r="G805" s="49"/>
      <c r="H805" s="50"/>
      <c r="AQ805" s="36"/>
    </row>
    <row r="806" spans="1:43" ht="13.95" customHeight="1">
      <c r="A806" s="58"/>
      <c r="B806" s="44"/>
      <c r="C806" s="45"/>
      <c r="D806" s="137"/>
      <c r="E806" s="258"/>
      <c r="F806" s="48"/>
      <c r="G806" s="49"/>
      <c r="H806" s="50"/>
      <c r="AQ806" s="36"/>
    </row>
    <row r="807" spans="1:43">
      <c r="A807" s="58"/>
      <c r="B807" s="44"/>
      <c r="C807" s="45"/>
      <c r="D807" s="137"/>
      <c r="E807" s="258"/>
      <c r="F807" s="48"/>
      <c r="G807" s="49"/>
      <c r="H807" s="50"/>
      <c r="AQ807" s="36"/>
    </row>
    <row r="808" spans="1:43">
      <c r="A808" s="58"/>
      <c r="B808" s="44"/>
      <c r="C808" s="45"/>
      <c r="D808" s="137"/>
      <c r="E808" s="258"/>
      <c r="F808" s="88"/>
      <c r="G808" s="97"/>
      <c r="H808" s="89"/>
      <c r="AQ808" s="36"/>
    </row>
    <row r="809" spans="1:43">
      <c r="A809" s="58"/>
      <c r="B809" s="44"/>
      <c r="C809" s="45"/>
      <c r="D809" s="137"/>
      <c r="E809" s="258"/>
      <c r="F809" s="88"/>
      <c r="G809" s="97"/>
      <c r="H809" s="89"/>
      <c r="AQ809" s="36"/>
    </row>
    <row r="810" spans="1:43">
      <c r="A810" s="58"/>
      <c r="B810" s="44"/>
      <c r="C810" s="45"/>
      <c r="D810" s="137"/>
      <c r="E810" s="258"/>
      <c r="F810" s="88"/>
      <c r="G810" s="97"/>
      <c r="H810" s="89"/>
      <c r="AQ810" s="36"/>
    </row>
    <row r="811" spans="1:43">
      <c r="A811" s="58"/>
      <c r="B811" s="44"/>
      <c r="C811" s="45"/>
      <c r="D811" s="137"/>
      <c r="E811" s="258"/>
      <c r="F811" s="88"/>
      <c r="G811" s="97"/>
      <c r="H811" s="89"/>
      <c r="AQ811" s="36"/>
    </row>
    <row r="812" spans="1:43">
      <c r="A812" s="58"/>
      <c r="B812" s="44"/>
      <c r="C812" s="45"/>
      <c r="D812" s="137"/>
      <c r="E812" s="258"/>
      <c r="F812" s="88"/>
      <c r="G812" s="97"/>
      <c r="H812" s="89"/>
      <c r="AQ812" s="36"/>
    </row>
    <row r="813" spans="1:43">
      <c r="A813" s="58"/>
      <c r="B813" s="44"/>
      <c r="C813" s="45"/>
      <c r="D813" s="137"/>
      <c r="E813" s="258"/>
      <c r="F813" s="88"/>
      <c r="G813" s="97"/>
      <c r="H813" s="89"/>
      <c r="AQ813" s="36"/>
    </row>
    <row r="814" spans="1:43">
      <c r="A814" s="58"/>
      <c r="B814" s="44"/>
      <c r="C814" s="45"/>
      <c r="D814" s="137"/>
      <c r="E814" s="258"/>
      <c r="F814" s="88"/>
      <c r="G814" s="97"/>
      <c r="H814" s="89"/>
      <c r="AQ814" s="36"/>
    </row>
    <row r="815" spans="1:43">
      <c r="A815" s="58"/>
      <c r="B815" s="44"/>
      <c r="C815" s="45"/>
      <c r="D815" s="137"/>
      <c r="E815" s="258"/>
      <c r="F815" s="88"/>
      <c r="G815" s="97"/>
      <c r="H815" s="89"/>
      <c r="AQ815" s="36"/>
    </row>
    <row r="816" spans="1:43">
      <c r="A816" s="58"/>
      <c r="B816" s="44"/>
      <c r="C816" s="45"/>
      <c r="D816" s="137"/>
      <c r="E816" s="258"/>
      <c r="F816" s="88"/>
      <c r="G816" s="97"/>
      <c r="H816" s="89"/>
      <c r="AQ816" s="36"/>
    </row>
    <row r="817" spans="1:45">
      <c r="A817" s="58"/>
      <c r="B817" s="44"/>
      <c r="C817" s="45"/>
      <c r="D817" s="137"/>
      <c r="E817" s="258"/>
      <c r="F817" s="88"/>
      <c r="G817" s="97"/>
      <c r="H817" s="89"/>
      <c r="AQ817" s="36"/>
    </row>
    <row r="818" spans="1:45">
      <c r="A818" s="58"/>
      <c r="B818" s="44"/>
      <c r="C818" s="45"/>
      <c r="D818" s="137"/>
      <c r="E818" s="258"/>
      <c r="F818" s="88"/>
      <c r="G818" s="97"/>
      <c r="H818" s="89"/>
      <c r="AQ818" s="36"/>
    </row>
    <row r="819" spans="1:45">
      <c r="A819" s="58"/>
      <c r="B819" s="44"/>
      <c r="C819" s="45"/>
      <c r="D819" s="137"/>
      <c r="E819" s="258"/>
      <c r="F819" s="88"/>
      <c r="G819" s="97"/>
      <c r="H819" s="89"/>
      <c r="AQ819" s="36"/>
    </row>
    <row r="820" spans="1:45">
      <c r="A820" s="58"/>
      <c r="B820" s="44"/>
      <c r="C820" s="45"/>
      <c r="D820" s="137"/>
      <c r="E820" s="258"/>
      <c r="F820" s="88"/>
      <c r="G820" s="97"/>
      <c r="H820" s="89"/>
      <c r="AQ820" s="36"/>
    </row>
    <row r="821" spans="1:45">
      <c r="A821" s="58"/>
      <c r="B821" s="44"/>
      <c r="C821" s="45"/>
      <c r="D821" s="137"/>
      <c r="E821" s="258"/>
      <c r="F821" s="88"/>
      <c r="G821" s="97"/>
      <c r="H821" s="89"/>
      <c r="AQ821" s="36"/>
    </row>
    <row r="822" spans="1:45">
      <c r="A822" s="58"/>
      <c r="B822" s="44"/>
      <c r="C822" s="45"/>
      <c r="D822" s="137"/>
      <c r="E822" s="258"/>
      <c r="F822" s="88"/>
      <c r="G822" s="97"/>
      <c r="H822" s="89"/>
      <c r="AQ822" s="36"/>
    </row>
    <row r="823" spans="1:45">
      <c r="A823" s="58"/>
      <c r="B823" s="44"/>
      <c r="C823" s="45"/>
      <c r="D823" s="137"/>
      <c r="E823" s="258"/>
      <c r="F823" s="88"/>
      <c r="G823" s="97"/>
      <c r="H823" s="89"/>
      <c r="AQ823" s="36"/>
    </row>
    <row r="824" spans="1:45">
      <c r="A824" s="58"/>
      <c r="B824" s="44"/>
      <c r="C824" s="45"/>
      <c r="D824" s="137"/>
      <c r="E824" s="258"/>
      <c r="F824" s="88"/>
      <c r="G824" s="97"/>
      <c r="H824" s="89"/>
      <c r="AQ824" s="36"/>
    </row>
    <row r="825" spans="1:45">
      <c r="A825" s="58"/>
      <c r="B825" s="44"/>
      <c r="C825" s="45"/>
      <c r="D825" s="137"/>
      <c r="E825" s="258"/>
      <c r="F825" s="88"/>
      <c r="G825" s="97"/>
      <c r="H825" s="89"/>
      <c r="AQ825" s="36"/>
    </row>
    <row r="826" spans="1:45">
      <c r="A826" s="58"/>
      <c r="B826" s="44"/>
      <c r="C826" s="45"/>
      <c r="D826" s="137"/>
      <c r="E826" s="258"/>
      <c r="F826" s="88"/>
      <c r="G826" s="97"/>
      <c r="H826" s="89"/>
      <c r="AQ826" s="36"/>
    </row>
    <row r="827" spans="1:45" s="203" customFormat="1" ht="13.95" customHeight="1">
      <c r="A827" s="243"/>
      <c r="B827" s="160"/>
      <c r="C827" s="28"/>
      <c r="D827" s="244"/>
      <c r="E827" s="261"/>
      <c r="F827" s="177"/>
      <c r="G827" s="31"/>
      <c r="H827" s="71"/>
      <c r="J827" s="209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F827" s="35"/>
      <c r="AG827" s="35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</row>
    <row r="828" spans="1:45" s="203" customFormat="1" ht="13.95" customHeight="1">
      <c r="A828" s="243"/>
      <c r="B828" s="160"/>
      <c r="C828" s="175"/>
      <c r="D828" s="245"/>
      <c r="E828" s="273"/>
      <c r="F828" s="23"/>
      <c r="G828" s="24"/>
      <c r="H828" s="71"/>
      <c r="J828" s="209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F828" s="35"/>
      <c r="AG828" s="35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</row>
    <row r="829" spans="1:45" s="203" customFormat="1" ht="13.95" customHeight="1">
      <c r="A829" s="243"/>
      <c r="B829" s="160"/>
      <c r="C829" s="86"/>
      <c r="D829" s="247"/>
      <c r="E829" s="170"/>
      <c r="F829" s="249"/>
      <c r="G829" s="31"/>
      <c r="H829" s="71"/>
      <c r="J829" s="209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F829" s="35"/>
      <c r="AG829" s="35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</row>
    <row r="830" spans="1:45" s="203" customFormat="1" ht="13.95" customHeight="1">
      <c r="A830" s="243"/>
      <c r="B830" s="160"/>
      <c r="C830" s="173"/>
      <c r="D830" s="247"/>
      <c r="E830" s="261"/>
      <c r="F830" s="30"/>
      <c r="G830" s="31"/>
      <c r="H830" s="71"/>
      <c r="J830" s="209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F830" s="35"/>
      <c r="AG830" s="35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</row>
    <row r="831" spans="1:45" s="203" customFormat="1" ht="13.95" customHeight="1">
      <c r="A831" s="243"/>
      <c r="B831" s="160"/>
      <c r="C831" s="35"/>
      <c r="D831" s="245"/>
      <c r="E831" s="274"/>
      <c r="F831" s="23"/>
      <c r="G831" s="24"/>
      <c r="H831" s="71"/>
      <c r="J831" s="209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F831" s="35"/>
      <c r="AG831" s="35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</row>
    <row r="832" spans="1:45">
      <c r="A832" s="58"/>
      <c r="B832" s="44"/>
      <c r="C832" s="45"/>
      <c r="D832" s="137"/>
      <c r="E832" s="258"/>
      <c r="F832" s="88"/>
      <c r="G832" s="97"/>
      <c r="H832" s="89"/>
      <c r="AQ832" s="36"/>
    </row>
    <row r="833" spans="1:43">
      <c r="A833" s="58"/>
      <c r="B833" s="44"/>
      <c r="C833" s="45"/>
      <c r="D833" s="137"/>
      <c r="E833" s="258"/>
      <c r="F833" s="88"/>
      <c r="G833" s="97"/>
      <c r="H833" s="89"/>
      <c r="AQ833" s="36"/>
    </row>
    <row r="834" spans="1:43">
      <c r="A834" s="58"/>
      <c r="B834" s="44"/>
      <c r="C834" s="45"/>
      <c r="D834" s="137"/>
      <c r="E834" s="258"/>
      <c r="F834" s="88"/>
      <c r="G834" s="97"/>
      <c r="H834" s="89"/>
      <c r="AQ834" s="36"/>
    </row>
    <row r="835" spans="1:43">
      <c r="A835" s="58"/>
      <c r="B835" s="44"/>
      <c r="C835" s="45"/>
      <c r="D835" s="137"/>
      <c r="E835" s="258"/>
      <c r="F835" s="88"/>
      <c r="G835" s="97"/>
      <c r="H835" s="89"/>
      <c r="AQ835" s="36"/>
    </row>
    <row r="836" spans="1:43">
      <c r="A836" s="58"/>
      <c r="B836" s="44"/>
      <c r="C836" s="45"/>
      <c r="D836" s="137"/>
      <c r="E836" s="258"/>
      <c r="F836" s="88"/>
      <c r="G836" s="97"/>
      <c r="H836" s="89"/>
      <c r="AQ836" s="36"/>
    </row>
    <row r="837" spans="1:43">
      <c r="A837" s="58"/>
      <c r="B837" s="44"/>
      <c r="C837" s="45"/>
      <c r="D837" s="137"/>
      <c r="E837" s="258"/>
      <c r="F837" s="88"/>
      <c r="G837" s="97"/>
      <c r="H837" s="89"/>
      <c r="AQ837" s="36"/>
    </row>
    <row r="838" spans="1:43">
      <c r="A838" s="58"/>
      <c r="B838" s="44"/>
      <c r="C838" s="45"/>
      <c r="D838" s="137"/>
      <c r="E838" s="258"/>
      <c r="F838" s="88"/>
      <c r="G838" s="97"/>
      <c r="H838" s="89"/>
      <c r="AQ838" s="36"/>
    </row>
    <row r="839" spans="1:43">
      <c r="A839" s="58"/>
      <c r="B839" s="44"/>
      <c r="C839" s="45"/>
      <c r="D839" s="137"/>
      <c r="E839" s="258"/>
      <c r="F839" s="88"/>
      <c r="G839" s="97"/>
      <c r="H839" s="89"/>
      <c r="AQ839" s="36"/>
    </row>
    <row r="840" spans="1:43">
      <c r="A840" s="58"/>
      <c r="B840" s="44"/>
      <c r="C840" s="45"/>
      <c r="D840" s="137"/>
      <c r="E840" s="258"/>
      <c r="F840" s="88"/>
      <c r="G840" s="97"/>
      <c r="H840" s="89"/>
      <c r="AQ840" s="36"/>
    </row>
    <row r="841" spans="1:43">
      <c r="A841" s="58"/>
      <c r="B841" s="44"/>
      <c r="C841" s="45"/>
      <c r="D841" s="137"/>
      <c r="E841" s="258"/>
      <c r="F841" s="88"/>
      <c r="G841" s="97"/>
      <c r="H841" s="89"/>
      <c r="AQ841" s="36"/>
    </row>
    <row r="842" spans="1:43">
      <c r="A842" s="58"/>
      <c r="B842" s="44"/>
      <c r="C842" s="45"/>
      <c r="D842" s="137"/>
      <c r="E842" s="258"/>
      <c r="F842" s="88"/>
      <c r="G842" s="97"/>
      <c r="H842" s="89"/>
      <c r="AQ842" s="36"/>
    </row>
    <row r="843" spans="1:43">
      <c r="A843" s="58"/>
      <c r="B843" s="44"/>
      <c r="C843" s="45"/>
      <c r="D843" s="137"/>
      <c r="E843" s="258"/>
      <c r="F843" s="88"/>
      <c r="G843" s="97"/>
      <c r="H843" s="89"/>
      <c r="AQ843" s="36"/>
    </row>
    <row r="844" spans="1:43">
      <c r="A844" s="58"/>
      <c r="B844" s="44"/>
      <c r="C844" s="45"/>
      <c r="D844" s="137"/>
      <c r="E844" s="258"/>
      <c r="F844" s="88"/>
      <c r="G844" s="97"/>
      <c r="H844" s="89"/>
      <c r="AQ844" s="36"/>
    </row>
    <row r="845" spans="1:43">
      <c r="A845" s="58"/>
      <c r="B845" s="44"/>
      <c r="C845" s="45"/>
      <c r="D845" s="137"/>
      <c r="E845" s="258"/>
      <c r="F845" s="88"/>
      <c r="G845" s="97"/>
      <c r="H845" s="89"/>
      <c r="AQ845" s="36"/>
    </row>
    <row r="846" spans="1:43">
      <c r="A846" s="58"/>
      <c r="B846" s="44"/>
      <c r="C846" s="45"/>
      <c r="D846" s="137"/>
      <c r="E846" s="258"/>
      <c r="F846" s="88"/>
      <c r="G846" s="97"/>
      <c r="H846" s="89"/>
      <c r="AQ846" s="36"/>
    </row>
    <row r="847" spans="1:43">
      <c r="A847" s="58"/>
      <c r="B847" s="44"/>
      <c r="C847" s="45"/>
      <c r="D847" s="137"/>
      <c r="E847" s="258"/>
      <c r="F847" s="88"/>
      <c r="G847" s="97"/>
      <c r="H847" s="89"/>
      <c r="AQ847" s="36"/>
    </row>
    <row r="848" spans="1:43">
      <c r="A848" s="58"/>
      <c r="B848" s="44"/>
      <c r="C848" s="45"/>
      <c r="D848" s="137"/>
      <c r="E848" s="258"/>
      <c r="F848" s="88"/>
      <c r="G848" s="97"/>
      <c r="H848" s="89"/>
      <c r="AQ848" s="36"/>
    </row>
    <row r="849" spans="1:43">
      <c r="A849" s="58"/>
      <c r="B849" s="44"/>
      <c r="C849" s="45"/>
      <c r="D849" s="137"/>
      <c r="E849" s="258"/>
      <c r="F849" s="88"/>
      <c r="G849" s="97"/>
      <c r="H849" s="89"/>
      <c r="AQ849" s="36"/>
    </row>
    <row r="850" spans="1:43">
      <c r="A850" s="58"/>
      <c r="B850" s="44"/>
      <c r="C850" s="45"/>
      <c r="D850" s="137"/>
      <c r="E850" s="258"/>
      <c r="F850" s="88"/>
      <c r="G850" s="97"/>
      <c r="H850" s="89"/>
      <c r="AQ850" s="36"/>
    </row>
    <row r="851" spans="1:43">
      <c r="A851" s="58"/>
      <c r="B851" s="44"/>
      <c r="C851" s="45"/>
      <c r="D851" s="137"/>
      <c r="E851" s="258"/>
      <c r="F851" s="88"/>
      <c r="G851" s="97"/>
      <c r="H851" s="89"/>
      <c r="AQ851" s="36"/>
    </row>
    <row r="852" spans="1:43">
      <c r="A852" s="58"/>
      <c r="B852" s="44"/>
      <c r="C852" s="45"/>
      <c r="D852" s="137"/>
      <c r="E852" s="258"/>
      <c r="F852" s="88"/>
      <c r="G852" s="97"/>
      <c r="H852" s="89"/>
      <c r="AQ852" s="36"/>
    </row>
    <row r="853" spans="1:43">
      <c r="A853" s="58"/>
      <c r="B853" s="44"/>
      <c r="C853" s="45"/>
      <c r="D853" s="137"/>
      <c r="E853" s="258"/>
      <c r="F853" s="88"/>
      <c r="G853" s="97"/>
      <c r="H853" s="89"/>
      <c r="AQ853" s="36"/>
    </row>
    <row r="854" spans="1:43">
      <c r="A854" s="58"/>
      <c r="B854" s="44"/>
      <c r="C854" s="45"/>
      <c r="D854" s="137"/>
      <c r="E854" s="258"/>
      <c r="F854" s="88"/>
      <c r="G854" s="97"/>
      <c r="H854" s="89"/>
      <c r="AQ854" s="36"/>
    </row>
    <row r="855" spans="1:43">
      <c r="A855" s="58"/>
      <c r="B855" s="44"/>
      <c r="C855" s="45"/>
      <c r="D855" s="137"/>
      <c r="E855" s="258"/>
      <c r="F855" s="88"/>
      <c r="G855" s="97"/>
      <c r="H855" s="89"/>
      <c r="AQ855" s="36"/>
    </row>
    <row r="856" spans="1:43">
      <c r="A856" s="58"/>
      <c r="B856" s="44"/>
      <c r="C856" s="45"/>
      <c r="D856" s="137"/>
      <c r="E856" s="258"/>
      <c r="F856" s="88"/>
      <c r="G856" s="97"/>
      <c r="H856" s="89"/>
      <c r="AQ856" s="36"/>
    </row>
    <row r="857" spans="1:43">
      <c r="A857" s="58"/>
      <c r="B857" s="44"/>
      <c r="C857" s="45"/>
      <c r="D857" s="137"/>
      <c r="E857" s="258"/>
      <c r="F857" s="88"/>
      <c r="G857" s="97"/>
      <c r="H857" s="89"/>
      <c r="AQ857" s="36"/>
    </row>
    <row r="858" spans="1:43">
      <c r="A858" s="58"/>
      <c r="B858" s="44"/>
      <c r="C858" s="45"/>
      <c r="D858" s="137"/>
      <c r="E858" s="258"/>
      <c r="F858" s="88"/>
      <c r="G858" s="97"/>
      <c r="H858" s="89"/>
      <c r="AQ858" s="36"/>
    </row>
    <row r="859" spans="1:43">
      <c r="A859" s="58"/>
      <c r="B859" s="44"/>
      <c r="C859" s="45"/>
      <c r="D859" s="137"/>
      <c r="E859" s="258"/>
      <c r="F859" s="88"/>
      <c r="G859" s="97"/>
      <c r="H859" s="89"/>
      <c r="AQ859" s="36"/>
    </row>
    <row r="860" spans="1:43">
      <c r="A860" s="58"/>
      <c r="B860" s="44"/>
      <c r="C860" s="45"/>
      <c r="D860" s="137"/>
      <c r="E860" s="258"/>
      <c r="F860" s="88"/>
      <c r="G860" s="97"/>
      <c r="H860" s="89"/>
      <c r="AQ860" s="36"/>
    </row>
    <row r="861" spans="1:43">
      <c r="A861" s="58"/>
      <c r="B861" s="44"/>
      <c r="C861" s="45"/>
      <c r="D861" s="137"/>
      <c r="E861" s="258"/>
      <c r="F861" s="88"/>
      <c r="G861" s="97"/>
      <c r="H861" s="89"/>
      <c r="AQ861" s="36"/>
    </row>
    <row r="862" spans="1:43">
      <c r="A862" s="58"/>
      <c r="B862" s="44"/>
      <c r="C862" s="45"/>
      <c r="D862" s="137"/>
      <c r="E862" s="258"/>
      <c r="F862" s="88"/>
      <c r="G862" s="97"/>
      <c r="H862" s="89"/>
      <c r="AQ862" s="36"/>
    </row>
    <row r="863" spans="1:43">
      <c r="A863" s="58"/>
      <c r="B863" s="44"/>
      <c r="C863" s="45"/>
      <c r="D863" s="137"/>
      <c r="E863" s="258"/>
      <c r="F863" s="88"/>
      <c r="G863" s="97"/>
      <c r="H863" s="89"/>
      <c r="AQ863" s="36"/>
    </row>
    <row r="864" spans="1:43">
      <c r="A864" s="58"/>
      <c r="B864" s="44"/>
      <c r="C864" s="45"/>
      <c r="D864" s="137"/>
      <c r="E864" s="258"/>
      <c r="F864" s="88"/>
      <c r="G864" s="97"/>
      <c r="H864" s="89"/>
      <c r="AQ864" s="36"/>
    </row>
    <row r="865" spans="1:43">
      <c r="A865" s="58"/>
      <c r="B865" s="44"/>
      <c r="C865" s="45"/>
      <c r="D865" s="137"/>
      <c r="E865" s="258"/>
      <c r="F865" s="88"/>
      <c r="G865" s="97"/>
      <c r="H865" s="89"/>
      <c r="AQ865" s="36"/>
    </row>
    <row r="866" spans="1:43">
      <c r="A866" s="58"/>
      <c r="B866" s="44"/>
      <c r="C866" s="45"/>
      <c r="D866" s="137"/>
      <c r="E866" s="258"/>
      <c r="F866" s="88"/>
      <c r="G866" s="97"/>
      <c r="H866" s="89"/>
      <c r="AQ866" s="36"/>
    </row>
    <row r="867" spans="1:43">
      <c r="A867" s="58"/>
      <c r="B867" s="44"/>
      <c r="C867" s="45"/>
      <c r="D867" s="137"/>
      <c r="E867" s="258"/>
      <c r="F867" s="88"/>
      <c r="G867" s="97"/>
      <c r="H867" s="89"/>
      <c r="AQ867" s="36"/>
    </row>
    <row r="868" spans="1:43">
      <c r="A868" s="58"/>
      <c r="B868" s="44"/>
      <c r="C868" s="45"/>
      <c r="D868" s="137"/>
      <c r="E868" s="258"/>
      <c r="F868" s="88"/>
      <c r="G868" s="97"/>
      <c r="H868" s="89"/>
      <c r="AQ868" s="36"/>
    </row>
    <row r="869" spans="1:43">
      <c r="A869" s="58"/>
      <c r="B869" s="44"/>
      <c r="C869" s="45"/>
      <c r="D869" s="137"/>
      <c r="E869" s="258"/>
      <c r="F869" s="88"/>
      <c r="G869" s="97"/>
      <c r="H869" s="89"/>
      <c r="AQ869" s="36"/>
    </row>
    <row r="870" spans="1:43">
      <c r="A870" s="58"/>
      <c r="B870" s="44"/>
      <c r="C870" s="45"/>
      <c r="D870" s="137"/>
      <c r="E870" s="258"/>
      <c r="F870" s="88"/>
      <c r="G870" s="97"/>
      <c r="H870" s="89"/>
      <c r="AQ870" s="36"/>
    </row>
    <row r="871" spans="1:43">
      <c r="A871" s="58"/>
      <c r="B871" s="44"/>
      <c r="C871" s="45"/>
      <c r="D871" s="137"/>
      <c r="E871" s="258"/>
      <c r="F871" s="88"/>
      <c r="G871" s="97"/>
      <c r="H871" s="89"/>
      <c r="AQ871" s="36"/>
    </row>
    <row r="872" spans="1:43">
      <c r="A872" s="58"/>
      <c r="B872" s="44"/>
      <c r="C872" s="45"/>
      <c r="D872" s="137"/>
      <c r="E872" s="258"/>
      <c r="F872" s="88"/>
      <c r="G872" s="97"/>
      <c r="H872" s="89"/>
      <c r="AQ872" s="36"/>
    </row>
    <row r="873" spans="1:43">
      <c r="A873" s="58"/>
      <c r="B873" s="44"/>
      <c r="C873" s="45"/>
      <c r="D873" s="137"/>
      <c r="E873" s="258"/>
      <c r="F873" s="88"/>
      <c r="G873" s="97"/>
      <c r="H873" s="89"/>
      <c r="AQ873" s="36"/>
    </row>
    <row r="874" spans="1:43">
      <c r="A874" s="58"/>
      <c r="B874" s="44"/>
      <c r="C874" s="45"/>
      <c r="D874" s="137"/>
      <c r="E874" s="258"/>
      <c r="F874" s="88"/>
      <c r="G874" s="97"/>
      <c r="H874" s="89"/>
      <c r="AQ874" s="36"/>
    </row>
    <row r="875" spans="1:43">
      <c r="A875" s="58"/>
      <c r="B875" s="44"/>
      <c r="C875" s="45"/>
      <c r="D875" s="137"/>
      <c r="E875" s="258"/>
      <c r="F875" s="88"/>
      <c r="G875" s="97"/>
      <c r="H875" s="89"/>
      <c r="AQ875" s="36"/>
    </row>
    <row r="876" spans="1:43">
      <c r="A876" s="58"/>
      <c r="B876" s="44"/>
      <c r="C876" s="45"/>
      <c r="D876" s="137"/>
      <c r="E876" s="258"/>
      <c r="F876" s="88"/>
      <c r="G876" s="97"/>
      <c r="H876" s="89"/>
      <c r="AQ876" s="36"/>
    </row>
    <row r="877" spans="1:43">
      <c r="A877" s="58"/>
      <c r="B877" s="44"/>
      <c r="C877" s="45"/>
      <c r="D877" s="137"/>
      <c r="E877" s="258"/>
      <c r="F877" s="88"/>
      <c r="G877" s="97"/>
      <c r="H877" s="89"/>
      <c r="AQ877" s="36"/>
    </row>
    <row r="878" spans="1:43">
      <c r="A878" s="58"/>
      <c r="B878" s="44"/>
      <c r="C878" s="45"/>
      <c r="D878" s="137"/>
      <c r="E878" s="258"/>
      <c r="F878" s="88"/>
      <c r="G878" s="97"/>
      <c r="H878" s="89"/>
      <c r="AQ878" s="36"/>
    </row>
    <row r="879" spans="1:43">
      <c r="A879" s="58"/>
      <c r="B879" s="44"/>
      <c r="C879" s="45"/>
      <c r="D879" s="137"/>
      <c r="E879" s="258"/>
      <c r="F879" s="88"/>
      <c r="G879" s="97"/>
      <c r="H879" s="89"/>
      <c r="AQ879" s="36"/>
    </row>
    <row r="880" spans="1:43">
      <c r="A880" s="58"/>
      <c r="B880" s="44"/>
      <c r="C880" s="45"/>
      <c r="D880" s="137"/>
      <c r="E880" s="258"/>
      <c r="F880" s="88"/>
      <c r="G880" s="97"/>
      <c r="H880" s="89"/>
      <c r="AQ880" s="36"/>
    </row>
    <row r="881" spans="1:43">
      <c r="A881" s="58"/>
      <c r="B881" s="44"/>
      <c r="C881" s="45"/>
      <c r="D881" s="137"/>
      <c r="E881" s="258"/>
      <c r="F881" s="88"/>
      <c r="G881" s="97"/>
      <c r="H881" s="89"/>
      <c r="AQ881" s="36"/>
    </row>
    <row r="882" spans="1:43">
      <c r="A882" s="58"/>
      <c r="B882" s="44"/>
      <c r="C882" s="45"/>
      <c r="D882" s="137"/>
      <c r="E882" s="258"/>
      <c r="F882" s="88"/>
      <c r="G882" s="97"/>
      <c r="H882" s="89"/>
      <c r="AQ882" s="36"/>
    </row>
    <row r="883" spans="1:43">
      <c r="A883" s="58"/>
      <c r="B883" s="44"/>
      <c r="C883" s="45"/>
      <c r="D883" s="137"/>
      <c r="E883" s="258"/>
      <c r="F883" s="88"/>
      <c r="G883" s="97"/>
      <c r="H883" s="89"/>
      <c r="AQ883" s="36"/>
    </row>
    <row r="884" spans="1:43">
      <c r="A884" s="58"/>
      <c r="B884" s="44"/>
      <c r="C884" s="45"/>
      <c r="D884" s="137"/>
      <c r="E884" s="258"/>
      <c r="F884" s="88"/>
      <c r="G884" s="97"/>
      <c r="H884" s="89"/>
      <c r="AQ884" s="36"/>
    </row>
    <row r="885" spans="1:43">
      <c r="A885" s="58"/>
      <c r="B885" s="44"/>
      <c r="C885" s="45"/>
      <c r="D885" s="137"/>
      <c r="E885" s="258"/>
      <c r="F885" s="88"/>
      <c r="G885" s="97"/>
      <c r="H885" s="89"/>
      <c r="AQ885" s="36"/>
    </row>
    <row r="886" spans="1:43">
      <c r="A886" s="58"/>
      <c r="B886" s="44"/>
      <c r="C886" s="45"/>
      <c r="D886" s="137"/>
      <c r="E886" s="258"/>
      <c r="F886" s="88"/>
      <c r="G886" s="97"/>
      <c r="H886" s="89"/>
      <c r="AQ886" s="36"/>
    </row>
    <row r="887" spans="1:43">
      <c r="A887" s="58"/>
      <c r="B887" s="44"/>
      <c r="C887" s="45"/>
      <c r="D887" s="137"/>
      <c r="E887" s="258"/>
      <c r="F887" s="88"/>
      <c r="G887" s="97"/>
      <c r="H887" s="89"/>
      <c r="AQ887" s="36"/>
    </row>
    <row r="888" spans="1:43">
      <c r="A888" s="58"/>
      <c r="B888" s="44"/>
      <c r="C888" s="45"/>
      <c r="D888" s="137"/>
      <c r="E888" s="258"/>
      <c r="F888" s="88"/>
      <c r="G888" s="97"/>
      <c r="H888" s="89"/>
      <c r="AQ888" s="36"/>
    </row>
    <row r="889" spans="1:43">
      <c r="A889" s="58"/>
      <c r="B889" s="44"/>
      <c r="C889" s="45"/>
      <c r="D889" s="137"/>
      <c r="E889" s="258"/>
      <c r="F889" s="88"/>
      <c r="G889" s="97"/>
      <c r="H889" s="89"/>
      <c r="AQ889" s="36"/>
    </row>
    <row r="890" spans="1:43">
      <c r="A890" s="58"/>
      <c r="B890" s="44"/>
      <c r="C890" s="45"/>
      <c r="D890" s="137"/>
      <c r="E890" s="258"/>
      <c r="F890" s="88"/>
      <c r="G890" s="97"/>
      <c r="H890" s="89"/>
      <c r="AQ890" s="36"/>
    </row>
    <row r="891" spans="1:43">
      <c r="A891" s="58"/>
      <c r="B891" s="44"/>
      <c r="C891" s="45"/>
      <c r="D891" s="137"/>
      <c r="E891" s="258"/>
      <c r="F891" s="88"/>
      <c r="G891" s="97"/>
      <c r="H891" s="89"/>
      <c r="AQ891" s="36"/>
    </row>
    <row r="892" spans="1:43">
      <c r="A892" s="58"/>
      <c r="B892" s="44"/>
      <c r="C892" s="45"/>
      <c r="D892" s="137"/>
      <c r="E892" s="258"/>
      <c r="F892" s="88"/>
      <c r="G892" s="97"/>
      <c r="H892" s="89"/>
      <c r="AQ892" s="36"/>
    </row>
    <row r="893" spans="1:43">
      <c r="A893" s="58"/>
      <c r="B893" s="44"/>
      <c r="C893" s="45"/>
      <c r="D893" s="137"/>
      <c r="E893" s="258"/>
      <c r="F893" s="88"/>
      <c r="G893" s="97"/>
      <c r="H893" s="89"/>
      <c r="AQ893" s="36"/>
    </row>
    <row r="894" spans="1:43">
      <c r="A894" s="58"/>
      <c r="B894" s="44"/>
      <c r="C894" s="45"/>
      <c r="D894" s="137"/>
      <c r="E894" s="258"/>
      <c r="F894" s="88"/>
      <c r="G894" s="97"/>
      <c r="H894" s="89"/>
      <c r="AQ894" s="36"/>
    </row>
    <row r="895" spans="1:43">
      <c r="A895" s="58"/>
      <c r="B895" s="44"/>
      <c r="C895" s="45"/>
      <c r="D895" s="137"/>
      <c r="E895" s="258"/>
      <c r="F895" s="88"/>
      <c r="G895" s="97"/>
      <c r="H895" s="89"/>
      <c r="AQ895" s="36"/>
    </row>
    <row r="896" spans="1:43">
      <c r="A896" s="58"/>
      <c r="B896" s="44"/>
      <c r="C896" s="45"/>
      <c r="D896" s="137"/>
      <c r="E896" s="258"/>
      <c r="F896" s="88"/>
      <c r="G896" s="97"/>
      <c r="H896" s="89"/>
      <c r="AQ896" s="36"/>
    </row>
    <row r="897" spans="1:43">
      <c r="A897" s="58"/>
      <c r="B897" s="44"/>
      <c r="C897" s="45"/>
      <c r="D897" s="137"/>
      <c r="E897" s="258"/>
      <c r="F897" s="88"/>
      <c r="G897" s="97"/>
      <c r="H897" s="89"/>
      <c r="AQ897" s="36"/>
    </row>
    <row r="898" spans="1:43">
      <c r="A898" s="58"/>
      <c r="B898" s="44"/>
      <c r="C898" s="45"/>
      <c r="D898" s="137"/>
      <c r="E898" s="258"/>
      <c r="F898" s="88"/>
      <c r="G898" s="97"/>
      <c r="H898" s="89"/>
      <c r="AQ898" s="36"/>
    </row>
    <row r="899" spans="1:43">
      <c r="A899" s="58"/>
      <c r="B899" s="44"/>
      <c r="C899" s="45"/>
      <c r="D899" s="137"/>
      <c r="E899" s="258"/>
      <c r="F899" s="88"/>
      <c r="G899" s="97"/>
      <c r="H899" s="89"/>
      <c r="AQ899" s="36"/>
    </row>
    <row r="900" spans="1:43">
      <c r="A900" s="58"/>
      <c r="B900" s="44"/>
      <c r="C900" s="45"/>
      <c r="D900" s="137"/>
      <c r="E900" s="258"/>
      <c r="F900" s="88"/>
      <c r="G900" s="97"/>
      <c r="H900" s="89"/>
      <c r="AQ900" s="36"/>
    </row>
    <row r="901" spans="1:43">
      <c r="A901" s="58"/>
      <c r="B901" s="44"/>
      <c r="C901" s="45"/>
      <c r="D901" s="137"/>
      <c r="E901" s="258"/>
      <c r="F901" s="88"/>
      <c r="G901" s="97"/>
      <c r="H901" s="89"/>
      <c r="AQ901" s="36"/>
    </row>
    <row r="902" spans="1:43">
      <c r="A902" s="58"/>
      <c r="B902" s="44"/>
      <c r="C902" s="45"/>
      <c r="D902" s="137"/>
      <c r="E902" s="258"/>
      <c r="F902" s="88"/>
      <c r="G902" s="97"/>
      <c r="H902" s="89"/>
      <c r="AQ902" s="36"/>
    </row>
    <row r="903" spans="1:43">
      <c r="A903" s="58"/>
      <c r="B903" s="44"/>
      <c r="C903" s="45"/>
      <c r="D903" s="137"/>
      <c r="E903" s="258"/>
      <c r="F903" s="88"/>
      <c r="G903" s="97"/>
      <c r="H903" s="89"/>
      <c r="AQ903" s="36"/>
    </row>
    <row r="904" spans="1:43">
      <c r="A904" s="58"/>
      <c r="B904" s="44"/>
      <c r="C904" s="45"/>
      <c r="D904" s="137"/>
      <c r="E904" s="258"/>
      <c r="F904" s="88"/>
      <c r="G904" s="97"/>
      <c r="H904" s="89"/>
      <c r="AQ904" s="36"/>
    </row>
    <row r="905" spans="1:43">
      <c r="A905" s="58"/>
      <c r="B905" s="44"/>
      <c r="C905" s="45"/>
      <c r="D905" s="137"/>
      <c r="E905" s="258"/>
      <c r="F905" s="88"/>
      <c r="G905" s="97"/>
      <c r="H905" s="89"/>
      <c r="AQ905" s="36"/>
    </row>
    <row r="906" spans="1:43">
      <c r="A906" s="58"/>
      <c r="B906" s="44"/>
      <c r="C906" s="45"/>
      <c r="D906" s="137"/>
      <c r="E906" s="258"/>
      <c r="F906" s="88"/>
      <c r="G906" s="97"/>
      <c r="H906" s="89"/>
      <c r="AQ906" s="36"/>
    </row>
    <row r="907" spans="1:43">
      <c r="A907" s="58"/>
      <c r="B907" s="44"/>
      <c r="C907" s="45"/>
      <c r="D907" s="137"/>
      <c r="E907" s="258"/>
      <c r="F907" s="88"/>
      <c r="G907" s="97"/>
      <c r="H907" s="89"/>
      <c r="AQ907" s="36"/>
    </row>
    <row r="908" spans="1:43">
      <c r="A908" s="58"/>
      <c r="B908" s="44"/>
      <c r="C908" s="45"/>
      <c r="D908" s="137"/>
      <c r="E908" s="258"/>
      <c r="F908" s="88"/>
      <c r="G908" s="97"/>
      <c r="H908" s="89"/>
      <c r="AQ908" s="36"/>
    </row>
    <row r="909" spans="1:43">
      <c r="B909" s="44"/>
      <c r="C909" s="45"/>
      <c r="D909" s="137"/>
      <c r="E909" s="258"/>
      <c r="F909" s="88"/>
      <c r="G909" s="97"/>
      <c r="H909" s="89"/>
      <c r="AQ909" s="36"/>
    </row>
    <row r="910" spans="1:43">
      <c r="B910" s="44"/>
      <c r="C910" s="45"/>
      <c r="D910" s="137"/>
      <c r="E910" s="258"/>
      <c r="F910" s="88"/>
      <c r="G910" s="97"/>
      <c r="H910" s="89"/>
      <c r="AQ910" s="36"/>
    </row>
    <row r="911" spans="1:43">
      <c r="B911" s="44"/>
      <c r="C911" s="45"/>
      <c r="D911" s="137"/>
      <c r="E911" s="258"/>
      <c r="F911" s="88"/>
      <c r="G911" s="97"/>
      <c r="H911" s="89"/>
      <c r="AQ911" s="36"/>
    </row>
    <row r="912" spans="1:43">
      <c r="B912" s="44"/>
      <c r="C912" s="45"/>
      <c r="D912" s="137"/>
      <c r="E912" s="258"/>
      <c r="F912" s="88"/>
      <c r="G912" s="97"/>
      <c r="H912" s="89"/>
      <c r="AQ912" s="36"/>
    </row>
    <row r="913" spans="2:43">
      <c r="B913" s="44"/>
      <c r="C913" s="45"/>
      <c r="D913" s="137"/>
      <c r="E913" s="258"/>
      <c r="F913" s="88"/>
      <c r="G913" s="97"/>
      <c r="H913" s="89"/>
      <c r="AQ913" s="36"/>
    </row>
    <row r="914" spans="2:43">
      <c r="B914" s="44"/>
      <c r="C914" s="45"/>
      <c r="D914" s="137"/>
      <c r="E914" s="258"/>
      <c r="F914" s="88"/>
      <c r="G914" s="97"/>
      <c r="H914" s="89"/>
      <c r="AQ914" s="36"/>
    </row>
    <row r="915" spans="2:43">
      <c r="B915" s="44"/>
      <c r="C915" s="45"/>
      <c r="D915" s="137"/>
      <c r="E915" s="258"/>
      <c r="F915" s="88"/>
      <c r="G915" s="97"/>
      <c r="H915" s="89"/>
      <c r="AQ915" s="36"/>
    </row>
    <row r="916" spans="2:43">
      <c r="B916" s="44"/>
      <c r="C916" s="45"/>
      <c r="D916" s="137"/>
      <c r="E916" s="258"/>
      <c r="F916" s="88"/>
      <c r="G916" s="97"/>
      <c r="H916" s="89"/>
      <c r="AQ916" s="36"/>
    </row>
    <row r="917" spans="2:43">
      <c r="B917" s="44"/>
      <c r="C917" s="45"/>
      <c r="D917" s="137"/>
      <c r="E917" s="258"/>
      <c r="F917" s="88"/>
      <c r="G917" s="97"/>
      <c r="H917" s="89"/>
      <c r="AQ917" s="36"/>
    </row>
    <row r="918" spans="2:43">
      <c r="B918" s="44"/>
      <c r="C918" s="45"/>
      <c r="D918" s="137"/>
      <c r="E918" s="258"/>
      <c r="F918" s="88"/>
      <c r="G918" s="97"/>
      <c r="H918" s="89"/>
      <c r="AQ918" s="36"/>
    </row>
    <row r="919" spans="2:43">
      <c r="B919" s="44"/>
      <c r="C919" s="45"/>
      <c r="D919" s="137"/>
      <c r="E919" s="258"/>
      <c r="F919" s="88"/>
      <c r="G919" s="97"/>
      <c r="H919" s="89"/>
      <c r="AQ919" s="36"/>
    </row>
    <row r="920" spans="2:43">
      <c r="B920" s="44"/>
      <c r="C920" s="45"/>
      <c r="D920" s="137"/>
      <c r="E920" s="258"/>
      <c r="F920" s="88"/>
      <c r="G920" s="97"/>
      <c r="H920" s="89"/>
      <c r="AQ920" s="36"/>
    </row>
    <row r="921" spans="2:43">
      <c r="B921" s="44"/>
      <c r="C921" s="45"/>
      <c r="D921" s="137"/>
      <c r="E921" s="258"/>
      <c r="F921" s="88"/>
      <c r="G921" s="97"/>
      <c r="H921" s="89"/>
      <c r="AQ921" s="36"/>
    </row>
    <row r="922" spans="2:43">
      <c r="B922" s="44"/>
      <c r="C922" s="45"/>
      <c r="D922" s="137"/>
      <c r="E922" s="258"/>
      <c r="F922" s="88"/>
      <c r="G922" s="97"/>
      <c r="H922" s="89"/>
      <c r="AQ922" s="36"/>
    </row>
    <row r="923" spans="2:43">
      <c r="B923" s="44"/>
      <c r="C923" s="45"/>
      <c r="D923" s="137"/>
      <c r="E923" s="258"/>
      <c r="F923" s="88"/>
      <c r="G923" s="97"/>
      <c r="H923" s="89"/>
      <c r="AQ923" s="36"/>
    </row>
    <row r="924" spans="2:43">
      <c r="B924" s="44"/>
      <c r="C924" s="45"/>
      <c r="D924" s="137"/>
      <c r="E924" s="258"/>
      <c r="F924" s="88"/>
      <c r="G924" s="97"/>
      <c r="H924" s="89"/>
      <c r="AQ924" s="36"/>
    </row>
    <row r="925" spans="2:43">
      <c r="B925" s="44"/>
      <c r="C925" s="45"/>
      <c r="D925" s="137"/>
      <c r="E925" s="258"/>
      <c r="F925" s="88"/>
      <c r="G925" s="97"/>
      <c r="H925" s="89"/>
      <c r="AQ925" s="36"/>
    </row>
    <row r="926" spans="2:43">
      <c r="B926" s="44"/>
      <c r="C926" s="45"/>
      <c r="D926" s="137"/>
      <c r="E926" s="258"/>
      <c r="F926" s="88"/>
      <c r="G926" s="97"/>
      <c r="H926" s="89"/>
      <c r="AQ926" s="36"/>
    </row>
    <row r="927" spans="2:43">
      <c r="B927" s="44"/>
      <c r="C927" s="45"/>
      <c r="D927" s="137"/>
      <c r="E927" s="258"/>
      <c r="F927" s="88"/>
      <c r="G927" s="97"/>
      <c r="H927" s="89"/>
      <c r="AQ927" s="36"/>
    </row>
    <row r="928" spans="2:43">
      <c r="B928" s="44"/>
      <c r="C928" s="45"/>
      <c r="D928" s="137"/>
      <c r="E928" s="258"/>
      <c r="F928" s="88"/>
      <c r="G928" s="97"/>
      <c r="H928" s="89"/>
      <c r="AQ928" s="36"/>
    </row>
    <row r="929" spans="2:43">
      <c r="B929" s="44"/>
      <c r="C929" s="45"/>
      <c r="D929" s="137"/>
      <c r="E929" s="258"/>
      <c r="F929" s="88"/>
      <c r="G929" s="97"/>
      <c r="H929" s="89"/>
      <c r="AQ929" s="36"/>
    </row>
    <row r="930" spans="2:43">
      <c r="B930" s="44"/>
      <c r="C930" s="45"/>
      <c r="D930" s="137"/>
      <c r="E930" s="258"/>
      <c r="F930" s="88"/>
      <c r="G930" s="97"/>
      <c r="H930" s="89"/>
      <c r="AQ930" s="36"/>
    </row>
    <row r="931" spans="2:43">
      <c r="B931" s="44"/>
      <c r="C931" s="45"/>
      <c r="D931" s="137"/>
      <c r="E931" s="258"/>
      <c r="F931" s="88"/>
      <c r="G931" s="97"/>
      <c r="H931" s="89"/>
      <c r="AQ931" s="36"/>
    </row>
    <row r="932" spans="2:43">
      <c r="B932" s="44"/>
      <c r="C932" s="45"/>
      <c r="D932" s="137"/>
      <c r="E932" s="258"/>
      <c r="F932" s="88"/>
      <c r="G932" s="97"/>
      <c r="H932" s="89"/>
      <c r="AQ932" s="36"/>
    </row>
    <row r="933" spans="2:43">
      <c r="B933" s="44"/>
      <c r="C933" s="45"/>
      <c r="D933" s="137"/>
      <c r="E933" s="258"/>
      <c r="F933" s="88"/>
      <c r="G933" s="97"/>
      <c r="H933" s="89"/>
      <c r="AQ933" s="36"/>
    </row>
    <row r="934" spans="2:43">
      <c r="B934" s="44"/>
      <c r="C934" s="45"/>
      <c r="D934" s="137"/>
      <c r="E934" s="258"/>
      <c r="F934" s="88"/>
      <c r="G934" s="97"/>
      <c r="H934" s="89"/>
      <c r="AQ934" s="36"/>
    </row>
    <row r="935" spans="2:43">
      <c r="B935" s="44"/>
      <c r="C935" s="45"/>
      <c r="D935" s="137"/>
      <c r="E935" s="258"/>
      <c r="F935" s="88"/>
      <c r="G935" s="97"/>
      <c r="H935" s="89"/>
      <c r="AQ935" s="36"/>
    </row>
    <row r="936" spans="2:43">
      <c r="B936" s="44"/>
      <c r="C936" s="45"/>
      <c r="D936" s="137"/>
      <c r="E936" s="258"/>
      <c r="F936" s="88"/>
      <c r="G936" s="97"/>
      <c r="H936" s="89"/>
      <c r="AQ936" s="36"/>
    </row>
    <row r="937" spans="2:43">
      <c r="B937" s="44"/>
      <c r="C937" s="45"/>
      <c r="D937" s="137"/>
      <c r="E937" s="258"/>
      <c r="F937" s="88"/>
      <c r="G937" s="97"/>
      <c r="H937" s="89"/>
      <c r="AQ937" s="36"/>
    </row>
    <row r="938" spans="2:43">
      <c r="B938" s="44"/>
      <c r="C938" s="45"/>
      <c r="D938" s="137"/>
      <c r="E938" s="258"/>
      <c r="F938" s="88"/>
      <c r="G938" s="97"/>
      <c r="H938" s="89"/>
      <c r="AQ938" s="36"/>
    </row>
    <row r="939" spans="2:43">
      <c r="B939" s="44"/>
      <c r="C939" s="45"/>
      <c r="D939" s="137"/>
      <c r="E939" s="258"/>
      <c r="F939" s="88"/>
      <c r="G939" s="97"/>
      <c r="H939" s="89"/>
      <c r="AQ939" s="36"/>
    </row>
    <row r="940" spans="2:43">
      <c r="B940" s="44"/>
      <c r="C940" s="45"/>
      <c r="D940" s="137"/>
      <c r="E940" s="258"/>
      <c r="F940" s="88"/>
      <c r="G940" s="97"/>
      <c r="H940" s="89"/>
      <c r="AQ940" s="36"/>
    </row>
    <row r="941" spans="2:43">
      <c r="B941" s="44"/>
      <c r="C941" s="45"/>
      <c r="D941" s="137"/>
      <c r="E941" s="258"/>
      <c r="F941" s="88"/>
      <c r="G941" s="97"/>
      <c r="H941" s="89"/>
      <c r="AQ941" s="36"/>
    </row>
    <row r="942" spans="2:43">
      <c r="B942" s="44"/>
      <c r="C942" s="45"/>
      <c r="D942" s="137"/>
      <c r="E942" s="258"/>
      <c r="F942" s="88"/>
      <c r="G942" s="97"/>
      <c r="H942" s="89"/>
      <c r="AQ942" s="36"/>
    </row>
    <row r="943" spans="2:43">
      <c r="B943" s="44"/>
      <c r="C943" s="45"/>
      <c r="D943" s="137"/>
      <c r="E943" s="258"/>
      <c r="F943" s="88"/>
      <c r="G943" s="97"/>
      <c r="H943" s="89"/>
      <c r="AQ943" s="36"/>
    </row>
    <row r="944" spans="2:43">
      <c r="B944" s="44"/>
      <c r="C944" s="45"/>
      <c r="D944" s="137"/>
      <c r="E944" s="258"/>
      <c r="F944" s="88"/>
      <c r="G944" s="97"/>
      <c r="H944" s="89"/>
      <c r="AQ944" s="36"/>
    </row>
    <row r="945" spans="2:43">
      <c r="B945" s="44"/>
      <c r="C945" s="45"/>
      <c r="D945" s="137"/>
      <c r="E945" s="258"/>
      <c r="F945" s="88"/>
      <c r="G945" s="97"/>
      <c r="H945" s="89"/>
      <c r="AQ945" s="36"/>
    </row>
    <row r="946" spans="2:43">
      <c r="B946" s="44"/>
      <c r="C946" s="45"/>
      <c r="D946" s="137"/>
      <c r="E946" s="258"/>
      <c r="F946" s="88"/>
      <c r="G946" s="97"/>
      <c r="H946" s="89"/>
      <c r="AQ946" s="36"/>
    </row>
    <row r="947" spans="2:43">
      <c r="B947" s="44"/>
      <c r="C947" s="45"/>
      <c r="D947" s="137"/>
      <c r="E947" s="258"/>
      <c r="F947" s="88"/>
      <c r="G947" s="97"/>
      <c r="H947" s="89"/>
      <c r="AQ947" s="36"/>
    </row>
    <row r="948" spans="2:43">
      <c r="B948" s="44"/>
      <c r="C948" s="45"/>
      <c r="D948" s="137"/>
      <c r="E948" s="258"/>
      <c r="F948" s="88"/>
      <c r="G948" s="97"/>
      <c r="H948" s="89"/>
      <c r="AQ948" s="36"/>
    </row>
    <row r="949" spans="2:43">
      <c r="B949" s="44"/>
      <c r="C949" s="45"/>
      <c r="D949" s="137"/>
      <c r="E949" s="258"/>
      <c r="F949" s="88"/>
      <c r="G949" s="97"/>
      <c r="H949" s="89"/>
      <c r="AQ949" s="36"/>
    </row>
    <row r="950" spans="2:43">
      <c r="B950" s="44"/>
      <c r="C950" s="45"/>
      <c r="D950" s="137"/>
      <c r="E950" s="258"/>
      <c r="F950" s="88"/>
      <c r="G950" s="97"/>
      <c r="H950" s="89"/>
      <c r="AQ950" s="36"/>
    </row>
    <row r="951" spans="2:43">
      <c r="B951" s="44"/>
      <c r="C951" s="45"/>
      <c r="D951" s="137"/>
      <c r="E951" s="258"/>
      <c r="F951" s="88"/>
      <c r="G951" s="97"/>
      <c r="H951" s="89"/>
      <c r="AQ951" s="36"/>
    </row>
    <row r="952" spans="2:43">
      <c r="B952" s="44"/>
      <c r="C952" s="45"/>
      <c r="D952" s="137"/>
      <c r="E952" s="258"/>
      <c r="F952" s="88"/>
      <c r="G952" s="97"/>
      <c r="H952" s="89"/>
      <c r="AQ952" s="36"/>
    </row>
    <row r="953" spans="2:43">
      <c r="B953" s="44"/>
      <c r="C953" s="45"/>
      <c r="D953" s="137"/>
      <c r="E953" s="258"/>
      <c r="F953" s="88"/>
      <c r="G953" s="97"/>
      <c r="H953" s="89"/>
      <c r="AQ953" s="36"/>
    </row>
    <row r="954" spans="2:43">
      <c r="B954" s="44"/>
      <c r="C954" s="45"/>
      <c r="D954" s="137"/>
      <c r="E954" s="258"/>
      <c r="F954" s="88"/>
      <c r="G954" s="97"/>
      <c r="H954" s="89"/>
      <c r="AQ954" s="36"/>
    </row>
    <row r="955" spans="2:43">
      <c r="B955" s="44"/>
      <c r="C955" s="45"/>
      <c r="D955" s="137"/>
      <c r="E955" s="258"/>
      <c r="F955" s="88"/>
      <c r="G955" s="97"/>
      <c r="H955" s="89"/>
      <c r="AQ955" s="36"/>
    </row>
    <row r="956" spans="2:43">
      <c r="B956" s="44"/>
      <c r="C956" s="45"/>
      <c r="D956" s="137"/>
      <c r="E956" s="258"/>
      <c r="F956" s="88"/>
      <c r="G956" s="97"/>
      <c r="H956" s="89"/>
      <c r="AQ956" s="36"/>
    </row>
    <row r="957" spans="2:43">
      <c r="B957" s="44"/>
      <c r="C957" s="45"/>
      <c r="D957" s="137"/>
      <c r="E957" s="258"/>
      <c r="F957" s="88"/>
      <c r="G957" s="97"/>
      <c r="H957" s="89"/>
      <c r="AQ957" s="36"/>
    </row>
    <row r="958" spans="2:43">
      <c r="B958" s="44"/>
      <c r="C958" s="45"/>
      <c r="D958" s="137"/>
      <c r="E958" s="258"/>
      <c r="F958" s="88"/>
      <c r="G958" s="97"/>
      <c r="H958" s="89"/>
      <c r="AQ958" s="36"/>
    </row>
    <row r="959" spans="2:43">
      <c r="B959" s="44"/>
      <c r="C959" s="45"/>
      <c r="D959" s="137"/>
      <c r="E959" s="258"/>
      <c r="F959" s="88"/>
      <c r="G959" s="97"/>
      <c r="H959" s="89"/>
      <c r="AQ959" s="36"/>
    </row>
    <row r="960" spans="2:43">
      <c r="B960" s="44"/>
      <c r="C960" s="45"/>
      <c r="D960" s="137"/>
      <c r="E960" s="258"/>
      <c r="F960" s="88"/>
      <c r="G960" s="97"/>
      <c r="H960" s="89"/>
      <c r="AQ960" s="36"/>
    </row>
    <row r="961" spans="2:43">
      <c r="B961" s="44"/>
      <c r="C961" s="45"/>
      <c r="D961" s="137"/>
      <c r="E961" s="258"/>
      <c r="F961" s="88"/>
      <c r="G961" s="97"/>
      <c r="H961" s="89"/>
      <c r="AQ961" s="36"/>
    </row>
    <row r="962" spans="2:43">
      <c r="B962" s="44"/>
      <c r="C962" s="45"/>
      <c r="D962" s="137"/>
      <c r="E962" s="258"/>
      <c r="F962" s="88"/>
      <c r="G962" s="97"/>
      <c r="H962" s="89"/>
      <c r="AQ962" s="36"/>
    </row>
    <row r="963" spans="2:43">
      <c r="B963" s="44"/>
      <c r="C963" s="45"/>
      <c r="D963" s="137"/>
      <c r="E963" s="258"/>
      <c r="F963" s="88"/>
      <c r="G963" s="97"/>
      <c r="H963" s="89"/>
      <c r="AQ963" s="36"/>
    </row>
    <row r="964" spans="2:43">
      <c r="B964" s="44"/>
      <c r="C964" s="45"/>
      <c r="D964" s="137"/>
      <c r="E964" s="258"/>
      <c r="F964" s="88"/>
      <c r="G964" s="97"/>
      <c r="H964" s="89"/>
      <c r="AQ964" s="36"/>
    </row>
    <row r="965" spans="2:43">
      <c r="B965" s="44"/>
      <c r="C965" s="45"/>
      <c r="D965" s="137"/>
      <c r="E965" s="258"/>
      <c r="F965" s="88"/>
      <c r="G965" s="97"/>
      <c r="H965" s="89"/>
      <c r="AQ965" s="36"/>
    </row>
    <row r="966" spans="2:43">
      <c r="B966" s="44"/>
      <c r="C966" s="45"/>
      <c r="D966" s="137"/>
      <c r="E966" s="258"/>
      <c r="F966" s="88"/>
      <c r="G966" s="97"/>
      <c r="H966" s="89"/>
      <c r="AQ966" s="36"/>
    </row>
    <row r="967" spans="2:43">
      <c r="B967" s="44"/>
      <c r="C967" s="45"/>
      <c r="D967" s="137"/>
      <c r="E967" s="258"/>
      <c r="F967" s="88"/>
      <c r="G967" s="97"/>
      <c r="H967" s="89"/>
      <c r="AQ967" s="36"/>
    </row>
    <row r="968" spans="2:43">
      <c r="B968" s="44"/>
      <c r="C968" s="45"/>
      <c r="D968" s="137"/>
      <c r="E968" s="258"/>
      <c r="F968" s="88"/>
      <c r="G968" s="97"/>
      <c r="H968" s="89"/>
      <c r="AQ968" s="36"/>
    </row>
    <row r="969" spans="2:43">
      <c r="B969" s="44"/>
      <c r="C969" s="45"/>
      <c r="D969" s="137"/>
      <c r="E969" s="258"/>
      <c r="F969" s="88"/>
      <c r="G969" s="97"/>
      <c r="H969" s="89"/>
      <c r="AQ969" s="36"/>
    </row>
    <row r="970" spans="2:43">
      <c r="B970" s="44"/>
      <c r="C970" s="45"/>
      <c r="D970" s="137"/>
      <c r="E970" s="258"/>
      <c r="F970" s="88"/>
      <c r="G970" s="97"/>
      <c r="H970" s="89"/>
      <c r="AQ970" s="36"/>
    </row>
    <row r="971" spans="2:43">
      <c r="B971" s="44"/>
      <c r="C971" s="45"/>
      <c r="D971" s="137"/>
      <c r="E971" s="258"/>
      <c r="F971" s="88"/>
      <c r="G971" s="97"/>
      <c r="H971" s="89"/>
      <c r="AQ971" s="36"/>
    </row>
    <row r="972" spans="2:43">
      <c r="B972" s="44"/>
      <c r="C972" s="45"/>
      <c r="D972" s="137"/>
      <c r="E972" s="258"/>
      <c r="F972" s="88"/>
      <c r="G972" s="97"/>
      <c r="H972" s="89"/>
      <c r="AQ972" s="36"/>
    </row>
    <row r="973" spans="2:43">
      <c r="B973" s="44"/>
      <c r="C973" s="45"/>
      <c r="D973" s="137"/>
      <c r="E973" s="258"/>
      <c r="F973" s="88"/>
      <c r="G973" s="97"/>
      <c r="H973" s="89"/>
      <c r="AQ973" s="36"/>
    </row>
    <row r="974" spans="2:43">
      <c r="B974" s="44"/>
      <c r="C974" s="45"/>
      <c r="D974" s="137"/>
      <c r="E974" s="258"/>
      <c r="F974" s="88"/>
      <c r="G974" s="97"/>
      <c r="H974" s="89"/>
      <c r="AQ974" s="36"/>
    </row>
    <row r="975" spans="2:43">
      <c r="B975" s="44"/>
      <c r="C975" s="45"/>
      <c r="D975" s="137"/>
      <c r="E975" s="258"/>
      <c r="F975" s="88"/>
      <c r="G975" s="97"/>
      <c r="H975" s="89"/>
      <c r="AQ975" s="36"/>
    </row>
    <row r="976" spans="2:43">
      <c r="B976" s="44"/>
      <c r="C976" s="45"/>
      <c r="D976" s="137"/>
      <c r="E976" s="258"/>
      <c r="F976" s="88"/>
      <c r="G976" s="97"/>
      <c r="H976" s="89"/>
      <c r="AQ976" s="36"/>
    </row>
    <row r="977" spans="2:43">
      <c r="B977" s="44"/>
      <c r="C977" s="45"/>
      <c r="D977" s="137"/>
      <c r="E977" s="258"/>
      <c r="F977" s="88"/>
      <c r="G977" s="97"/>
      <c r="H977" s="89"/>
      <c r="AQ977" s="36"/>
    </row>
    <row r="978" spans="2:43">
      <c r="B978" s="44"/>
      <c r="C978" s="45"/>
      <c r="D978" s="137"/>
      <c r="E978" s="258"/>
      <c r="F978" s="88"/>
      <c r="G978" s="97"/>
      <c r="H978" s="89"/>
      <c r="AQ978" s="36"/>
    </row>
    <row r="979" spans="2:43">
      <c r="B979" s="44"/>
      <c r="C979" s="45"/>
      <c r="D979" s="137"/>
      <c r="E979" s="258"/>
      <c r="F979" s="88"/>
      <c r="G979" s="97"/>
      <c r="H979" s="89"/>
      <c r="AQ979" s="36"/>
    </row>
    <row r="980" spans="2:43">
      <c r="B980" s="44"/>
      <c r="C980" s="45"/>
      <c r="D980" s="137"/>
      <c r="E980" s="258"/>
      <c r="F980" s="88"/>
      <c r="G980" s="97"/>
      <c r="H980" s="89"/>
      <c r="AQ980" s="36"/>
    </row>
    <row r="981" spans="2:43">
      <c r="B981" s="44"/>
      <c r="C981" s="45"/>
      <c r="D981" s="137"/>
      <c r="E981" s="258"/>
      <c r="F981" s="88"/>
      <c r="G981" s="97"/>
      <c r="H981" s="89"/>
      <c r="AQ981" s="36"/>
    </row>
    <row r="982" spans="2:43">
      <c r="B982" s="44"/>
      <c r="C982" s="45"/>
      <c r="D982" s="137"/>
      <c r="E982" s="258"/>
      <c r="F982" s="88"/>
      <c r="G982" s="97"/>
      <c r="H982" s="89"/>
      <c r="AQ982" s="36"/>
    </row>
    <row r="983" spans="2:43">
      <c r="B983" s="44"/>
      <c r="C983" s="45"/>
      <c r="D983" s="137"/>
      <c r="E983" s="258"/>
      <c r="F983" s="88"/>
      <c r="G983" s="97"/>
      <c r="H983" s="89"/>
      <c r="AQ983" s="36"/>
    </row>
    <row r="984" spans="2:43">
      <c r="B984" s="44"/>
      <c r="C984" s="45"/>
      <c r="D984" s="137"/>
      <c r="E984" s="258"/>
      <c r="F984" s="88"/>
      <c r="G984" s="97"/>
      <c r="H984" s="89"/>
      <c r="AQ984" s="36"/>
    </row>
    <row r="985" spans="2:43">
      <c r="B985" s="44"/>
      <c r="C985" s="45"/>
      <c r="D985" s="137"/>
      <c r="E985" s="258"/>
      <c r="F985" s="88"/>
      <c r="G985" s="97"/>
      <c r="H985" s="89"/>
      <c r="AQ985" s="36"/>
    </row>
    <row r="986" spans="2:43">
      <c r="B986" s="44"/>
      <c r="C986" s="45"/>
      <c r="D986" s="137"/>
      <c r="E986" s="258"/>
      <c r="F986" s="88"/>
      <c r="G986" s="97"/>
      <c r="H986" s="89"/>
      <c r="AQ986" s="36"/>
    </row>
    <row r="987" spans="2:43">
      <c r="B987" s="44"/>
      <c r="C987" s="45"/>
      <c r="D987" s="137"/>
      <c r="E987" s="258"/>
      <c r="F987" s="88"/>
      <c r="G987" s="97"/>
      <c r="H987" s="89"/>
      <c r="AQ987" s="36"/>
    </row>
    <row r="988" spans="2:43">
      <c r="B988" s="44"/>
      <c r="C988" s="45"/>
      <c r="D988" s="137"/>
      <c r="E988" s="258"/>
      <c r="F988" s="88"/>
      <c r="G988" s="97"/>
      <c r="H988" s="89"/>
      <c r="AQ988" s="36"/>
    </row>
    <row r="989" spans="2:43">
      <c r="B989" s="44"/>
      <c r="C989" s="45"/>
      <c r="D989" s="137"/>
      <c r="E989" s="258"/>
      <c r="F989" s="88"/>
      <c r="G989" s="97"/>
      <c r="H989" s="89"/>
      <c r="AQ989" s="36"/>
    </row>
    <row r="990" spans="2:43">
      <c r="B990" s="44"/>
      <c r="C990" s="45"/>
      <c r="D990" s="137"/>
      <c r="E990" s="258"/>
      <c r="F990" s="88"/>
      <c r="G990" s="97"/>
      <c r="H990" s="89"/>
      <c r="AQ990" s="36"/>
    </row>
    <row r="991" spans="2:43">
      <c r="B991" s="44"/>
      <c r="C991" s="45"/>
      <c r="D991" s="137"/>
      <c r="E991" s="258"/>
      <c r="F991" s="88"/>
      <c r="G991" s="97"/>
      <c r="H991" s="89"/>
      <c r="AQ991" s="36"/>
    </row>
    <row r="992" spans="2:43">
      <c r="B992" s="44"/>
      <c r="C992" s="45"/>
      <c r="D992" s="137"/>
      <c r="E992" s="258"/>
      <c r="F992" s="88"/>
      <c r="G992" s="97"/>
      <c r="H992" s="89"/>
      <c r="AQ992" s="36"/>
    </row>
    <row r="993" spans="2:43">
      <c r="B993" s="44"/>
      <c r="C993" s="45"/>
      <c r="D993" s="137"/>
      <c r="E993" s="258"/>
      <c r="F993" s="88"/>
      <c r="G993" s="97"/>
      <c r="H993" s="89"/>
      <c r="AQ993" s="36"/>
    </row>
    <row r="994" spans="2:43">
      <c r="B994" s="44"/>
      <c r="C994" s="45"/>
      <c r="D994" s="137"/>
      <c r="E994" s="258"/>
      <c r="F994" s="88"/>
      <c r="G994" s="97"/>
      <c r="H994" s="89"/>
      <c r="AQ994" s="36"/>
    </row>
    <row r="995" spans="2:43">
      <c r="B995" s="44"/>
      <c r="C995" s="45"/>
      <c r="D995" s="137"/>
      <c r="E995" s="258"/>
      <c r="F995" s="88"/>
      <c r="G995" s="97"/>
      <c r="H995" s="89"/>
      <c r="AQ995" s="36"/>
    </row>
    <row r="996" spans="2:43">
      <c r="B996" s="44"/>
      <c r="C996" s="45"/>
      <c r="D996" s="137"/>
      <c r="E996" s="258"/>
      <c r="F996" s="88"/>
      <c r="G996" s="97"/>
      <c r="H996" s="89"/>
      <c r="AQ996" s="36"/>
    </row>
    <row r="997" spans="2:43">
      <c r="B997" s="44"/>
      <c r="C997" s="45"/>
      <c r="D997" s="137"/>
      <c r="E997" s="258"/>
      <c r="F997" s="88"/>
      <c r="G997" s="97"/>
      <c r="H997" s="89"/>
      <c r="AQ997" s="36"/>
    </row>
    <row r="998" spans="2:43">
      <c r="B998" s="44"/>
      <c r="C998" s="45"/>
      <c r="D998" s="137"/>
      <c r="E998" s="258"/>
      <c r="F998" s="88"/>
      <c r="G998" s="97"/>
      <c r="H998" s="89"/>
      <c r="AQ998" s="36"/>
    </row>
    <row r="999" spans="2:43">
      <c r="B999" s="44"/>
      <c r="C999" s="45"/>
      <c r="D999" s="137"/>
      <c r="E999" s="258"/>
      <c r="F999" s="88"/>
      <c r="G999" s="97"/>
      <c r="H999" s="89"/>
      <c r="AQ999" s="36"/>
    </row>
    <row r="1000" spans="2:43">
      <c r="B1000" s="44"/>
      <c r="C1000" s="45"/>
      <c r="D1000" s="137"/>
      <c r="E1000" s="258"/>
      <c r="F1000" s="88"/>
      <c r="G1000" s="97"/>
      <c r="H1000" s="89"/>
      <c r="AQ1000" s="36"/>
    </row>
    <row r="1001" spans="2:43">
      <c r="B1001" s="44"/>
      <c r="C1001" s="45"/>
      <c r="D1001" s="137"/>
      <c r="E1001" s="258"/>
      <c r="F1001" s="88"/>
      <c r="G1001" s="97"/>
      <c r="H1001" s="89"/>
      <c r="AQ1001" s="36"/>
    </row>
    <row r="1002" spans="2:43">
      <c r="B1002" s="44"/>
      <c r="C1002" s="45"/>
      <c r="D1002" s="137"/>
      <c r="E1002" s="258"/>
      <c r="F1002" s="88"/>
      <c r="G1002" s="97"/>
      <c r="H1002" s="89"/>
      <c r="AQ1002" s="36"/>
    </row>
    <row r="1003" spans="2:43">
      <c r="B1003" s="44"/>
      <c r="C1003" s="45"/>
      <c r="D1003" s="137"/>
      <c r="E1003" s="258"/>
      <c r="F1003" s="88"/>
      <c r="G1003" s="97"/>
      <c r="H1003" s="89"/>
      <c r="AQ1003" s="36"/>
    </row>
    <row r="1004" spans="2:43">
      <c r="B1004" s="44"/>
      <c r="C1004" s="45"/>
      <c r="D1004" s="137"/>
      <c r="E1004" s="258"/>
      <c r="F1004" s="88"/>
      <c r="G1004" s="97"/>
      <c r="H1004" s="89"/>
      <c r="AQ1004" s="36"/>
    </row>
    <row r="1005" spans="2:43">
      <c r="B1005" s="44"/>
      <c r="C1005" s="45"/>
      <c r="D1005" s="137"/>
      <c r="E1005" s="258"/>
      <c r="F1005" s="88"/>
      <c r="G1005" s="97"/>
      <c r="H1005" s="89"/>
      <c r="AQ1005" s="36"/>
    </row>
    <row r="1006" spans="2:43">
      <c r="B1006" s="44"/>
      <c r="C1006" s="45"/>
      <c r="D1006" s="137"/>
      <c r="E1006" s="258"/>
      <c r="F1006" s="88"/>
      <c r="G1006" s="97"/>
      <c r="H1006" s="89"/>
      <c r="AQ1006" s="36"/>
    </row>
    <row r="1007" spans="2:43">
      <c r="B1007" s="44"/>
      <c r="C1007" s="45"/>
      <c r="D1007" s="137"/>
      <c r="E1007" s="258"/>
      <c r="F1007" s="88"/>
      <c r="G1007" s="97"/>
      <c r="H1007" s="89"/>
      <c r="AQ1007" s="36"/>
    </row>
    <row r="1008" spans="2:43">
      <c r="B1008" s="44"/>
      <c r="C1008" s="45"/>
      <c r="D1008" s="137"/>
      <c r="E1008" s="258"/>
      <c r="F1008" s="88"/>
      <c r="G1008" s="97"/>
      <c r="H1008" s="89"/>
      <c r="AQ1008" s="36"/>
    </row>
    <row r="1009" spans="1:43">
      <c r="B1009" s="44"/>
      <c r="C1009" s="45"/>
      <c r="D1009" s="137"/>
      <c r="E1009" s="258"/>
      <c r="F1009" s="88"/>
      <c r="G1009" s="97"/>
      <c r="H1009" s="89"/>
      <c r="AQ1009" s="36"/>
    </row>
    <row r="1010" spans="1:43">
      <c r="B1010" s="44"/>
      <c r="C1010" s="45"/>
      <c r="D1010" s="137"/>
      <c r="E1010" s="258"/>
      <c r="F1010" s="88"/>
      <c r="G1010" s="97"/>
      <c r="H1010" s="89"/>
      <c r="AQ1010" s="36"/>
    </row>
    <row r="1011" spans="1:43">
      <c r="B1011" s="44"/>
      <c r="C1011" s="45"/>
      <c r="D1011" s="137"/>
      <c r="E1011" s="258"/>
      <c r="F1011" s="88"/>
      <c r="G1011" s="97"/>
      <c r="H1011" s="89"/>
      <c r="AQ1011" s="36"/>
    </row>
    <row r="1012" spans="1:43">
      <c r="B1012" s="44"/>
      <c r="C1012" s="45"/>
      <c r="D1012" s="137"/>
      <c r="E1012" s="258"/>
      <c r="F1012" s="88"/>
      <c r="G1012" s="97"/>
      <c r="H1012" s="89"/>
      <c r="AQ1012" s="36"/>
    </row>
    <row r="1013" spans="1:43">
      <c r="B1013" s="44"/>
      <c r="C1013" s="45"/>
      <c r="D1013" s="137"/>
      <c r="E1013" s="258"/>
      <c r="F1013" s="88"/>
      <c r="G1013" s="97"/>
      <c r="H1013" s="89"/>
      <c r="AQ1013" s="36"/>
    </row>
    <row r="1014" spans="1:43">
      <c r="B1014" s="44"/>
      <c r="C1014" s="45"/>
      <c r="D1014" s="137"/>
      <c r="E1014" s="258"/>
      <c r="F1014" s="88"/>
      <c r="G1014" s="97"/>
      <c r="H1014" s="89"/>
      <c r="AQ1014" s="36"/>
    </row>
    <row r="1015" spans="1:43">
      <c r="B1015" s="44"/>
      <c r="C1015" s="45"/>
      <c r="D1015" s="137"/>
      <c r="E1015" s="258"/>
      <c r="F1015" s="88"/>
      <c r="G1015" s="97"/>
      <c r="H1015" s="89"/>
      <c r="AQ1015" s="36"/>
    </row>
    <row r="1016" spans="1:43">
      <c r="B1016" s="44"/>
      <c r="C1016" s="45"/>
      <c r="D1016" s="137"/>
      <c r="E1016" s="258"/>
      <c r="F1016" s="88"/>
      <c r="G1016" s="97"/>
      <c r="H1016" s="89"/>
      <c r="AQ1016" s="36"/>
    </row>
    <row r="1017" spans="1:43">
      <c r="B1017" s="44"/>
      <c r="C1017" s="45"/>
      <c r="D1017" s="137"/>
      <c r="E1017" s="258"/>
      <c r="F1017" s="88"/>
      <c r="G1017" s="97"/>
      <c r="H1017" s="89"/>
      <c r="AQ1017" s="36"/>
    </row>
    <row r="1018" spans="1:43">
      <c r="B1018" s="44"/>
      <c r="C1018" s="45"/>
      <c r="D1018" s="137"/>
      <c r="E1018" s="258"/>
      <c r="F1018" s="88"/>
      <c r="G1018" s="97"/>
      <c r="H1018" s="89"/>
      <c r="AQ1018" s="36"/>
    </row>
    <row r="1019" spans="1:43" ht="24">
      <c r="A1019" s="25" t="s">
        <v>915</v>
      </c>
      <c r="D1019" s="172"/>
      <c r="E1019" s="251"/>
      <c r="F1019" s="252"/>
      <c r="G1019" s="163"/>
      <c r="H1019" s="168"/>
      <c r="J1019" s="164"/>
    </row>
    <row r="1020" spans="1:43" ht="24">
      <c r="A1020" s="25" t="s">
        <v>916</v>
      </c>
      <c r="E1020" s="271"/>
      <c r="G1020" s="21"/>
      <c r="H1020" s="20"/>
      <c r="J1020" s="164"/>
    </row>
    <row r="1021" spans="1:43" ht="24">
      <c r="A1021" s="25" t="s">
        <v>917</v>
      </c>
      <c r="J1021" s="164"/>
    </row>
    <row r="1022" spans="1:43" ht="24">
      <c r="A1022" s="25" t="s">
        <v>918</v>
      </c>
      <c r="J1022" s="164"/>
    </row>
    <row r="1023" spans="1:43" ht="24">
      <c r="A1023" s="25" t="s">
        <v>919</v>
      </c>
      <c r="J1023" s="164"/>
    </row>
    <row r="1024" spans="1:43">
      <c r="J1024" s="164"/>
    </row>
    <row r="1025" spans="10:10">
      <c r="J1025" s="164"/>
    </row>
    <row r="1026" spans="10:10">
      <c r="J1026" s="164"/>
    </row>
    <row r="1027" spans="10:10">
      <c r="J1027" s="164"/>
    </row>
    <row r="1028" spans="10:10">
      <c r="J1028" s="164"/>
    </row>
    <row r="1029" spans="10:10">
      <c r="J1029" s="164"/>
    </row>
    <row r="1030" spans="10:10">
      <c r="J1030" s="164"/>
    </row>
    <row r="1031" spans="10:10">
      <c r="J1031" s="164"/>
    </row>
    <row r="1032" spans="10:10">
      <c r="J1032" s="164"/>
    </row>
    <row r="1033" spans="10:10">
      <c r="J1033" s="164"/>
    </row>
    <row r="1034" spans="10:10">
      <c r="J1034" s="164"/>
    </row>
    <row r="1035" spans="10:10">
      <c r="J1035" s="164"/>
    </row>
    <row r="1036" spans="10:10">
      <c r="J1036" s="164"/>
    </row>
    <row r="1037" spans="10:10">
      <c r="J1037" s="164"/>
    </row>
    <row r="1038" spans="10:10">
      <c r="J1038" s="164"/>
    </row>
    <row r="1039" spans="10:10">
      <c r="J1039" s="164"/>
    </row>
    <row r="1040" spans="10:10">
      <c r="J1040" s="164"/>
    </row>
    <row r="1041" spans="10:10">
      <c r="J1041" s="164"/>
    </row>
    <row r="1042" spans="10:10">
      <c r="J1042" s="164"/>
    </row>
    <row r="1043" spans="10:10">
      <c r="J1043" s="164"/>
    </row>
    <row r="1044" spans="10:10">
      <c r="J1044" s="164"/>
    </row>
    <row r="1045" spans="10:10">
      <c r="J1045" s="164"/>
    </row>
    <row r="1046" spans="10:10">
      <c r="J1046" s="164"/>
    </row>
    <row r="1047" spans="10:10">
      <c r="J1047" s="164"/>
    </row>
    <row r="1048" spans="10:10">
      <c r="J1048" s="164"/>
    </row>
    <row r="1049" spans="10:10">
      <c r="J1049" s="164"/>
    </row>
    <row r="1050" spans="10:10">
      <c r="J1050" s="164"/>
    </row>
    <row r="1051" spans="10:10">
      <c r="J1051" s="164"/>
    </row>
    <row r="1052" spans="10:10">
      <c r="J1052" s="164"/>
    </row>
    <row r="1053" spans="10:10">
      <c r="J1053" s="164"/>
    </row>
    <row r="1054" spans="10:10">
      <c r="J1054" s="164"/>
    </row>
    <row r="1055" spans="10:10">
      <c r="J1055" s="164"/>
    </row>
    <row r="1056" spans="10:10">
      <c r="J1056" s="164"/>
    </row>
    <row r="1057" spans="10:10">
      <c r="J1057" s="164"/>
    </row>
    <row r="1058" spans="10:10">
      <c r="J1058" s="164"/>
    </row>
    <row r="1059" spans="10:10">
      <c r="J1059" s="164"/>
    </row>
    <row r="1060" spans="10:10">
      <c r="J1060" s="164"/>
    </row>
    <row r="1061" spans="10:10">
      <c r="J1061" s="164"/>
    </row>
    <row r="1062" spans="10:10">
      <c r="J1062" s="164"/>
    </row>
    <row r="1063" spans="10:10">
      <c r="J1063" s="164"/>
    </row>
    <row r="1064" spans="10:10">
      <c r="J1064" s="164"/>
    </row>
    <row r="1065" spans="10:10">
      <c r="J1065" s="164"/>
    </row>
    <row r="1066" spans="10:10">
      <c r="J1066" s="164"/>
    </row>
    <row r="1067" spans="10:10">
      <c r="J1067" s="164"/>
    </row>
    <row r="1068" spans="10:10">
      <c r="J1068" s="164"/>
    </row>
    <row r="1069" spans="10:10">
      <c r="J1069" s="164"/>
    </row>
    <row r="1070" spans="10:10">
      <c r="J1070" s="164"/>
    </row>
    <row r="1071" spans="10:10">
      <c r="J1071" s="164"/>
    </row>
    <row r="1072" spans="10:10">
      <c r="J1072" s="164"/>
    </row>
    <row r="1073" spans="10:10">
      <c r="J1073" s="164"/>
    </row>
    <row r="1074" spans="10:10">
      <c r="J1074" s="164"/>
    </row>
    <row r="1075" spans="10:10">
      <c r="J1075" s="164"/>
    </row>
    <row r="1076" spans="10:10">
      <c r="J1076" s="164"/>
    </row>
    <row r="1077" spans="10:10">
      <c r="J1077" s="164"/>
    </row>
    <row r="1078" spans="10:10">
      <c r="J1078" s="164"/>
    </row>
    <row r="1079" spans="10:10">
      <c r="J1079" s="164"/>
    </row>
    <row r="1080" spans="10:10">
      <c r="J1080" s="164"/>
    </row>
    <row r="1081" spans="10:10">
      <c r="J1081" s="164"/>
    </row>
    <row r="1082" spans="10:10">
      <c r="J1082" s="164"/>
    </row>
    <row r="1083" spans="10:10">
      <c r="J1083" s="164"/>
    </row>
    <row r="1084" spans="10:10">
      <c r="J1084" s="164"/>
    </row>
    <row r="1085" spans="10:10">
      <c r="J1085" s="164"/>
    </row>
    <row r="1086" spans="10:10">
      <c r="J1086" s="164"/>
    </row>
    <row r="1087" spans="10:10">
      <c r="J1087" s="164"/>
    </row>
    <row r="1088" spans="10:10">
      <c r="J1088" s="164"/>
    </row>
    <row r="1089" spans="10:10">
      <c r="J1089" s="164"/>
    </row>
    <row r="1090" spans="10:10">
      <c r="J1090" s="164"/>
    </row>
    <row r="1091" spans="10:10">
      <c r="J1091" s="164"/>
    </row>
    <row r="1092" spans="10:10">
      <c r="J1092" s="164"/>
    </row>
    <row r="1093" spans="10:10">
      <c r="J1093" s="164"/>
    </row>
    <row r="1094" spans="10:10">
      <c r="J1094" s="164"/>
    </row>
    <row r="1095" spans="10:10">
      <c r="J1095" s="164"/>
    </row>
    <row r="1096" spans="10:10">
      <c r="J1096" s="164"/>
    </row>
    <row r="1097" spans="10:10">
      <c r="J1097" s="164"/>
    </row>
    <row r="1098" spans="10:10">
      <c r="J1098" s="164"/>
    </row>
    <row r="1099" spans="10:10">
      <c r="J1099" s="164"/>
    </row>
    <row r="1100" spans="10:10">
      <c r="J1100" s="164"/>
    </row>
    <row r="1101" spans="10:10">
      <c r="J1101" s="164"/>
    </row>
    <row r="1102" spans="10:10">
      <c r="J1102" s="164"/>
    </row>
    <row r="1103" spans="10:10">
      <c r="J1103" s="164"/>
    </row>
    <row r="1104" spans="10:10">
      <c r="J1104" s="164"/>
    </row>
    <row r="1105" spans="10:10">
      <c r="J1105" s="164"/>
    </row>
    <row r="1106" spans="10:10">
      <c r="J1106" s="164"/>
    </row>
    <row r="1107" spans="10:10">
      <c r="J1107" s="164"/>
    </row>
    <row r="1108" spans="10:10">
      <c r="J1108" s="164"/>
    </row>
    <row r="1109" spans="10:10">
      <c r="J1109" s="164"/>
    </row>
    <row r="1110" spans="10:10">
      <c r="J1110" s="164"/>
    </row>
    <row r="1111" spans="10:10">
      <c r="J1111" s="164"/>
    </row>
    <row r="1112" spans="10:10">
      <c r="J1112" s="164"/>
    </row>
    <row r="1113" spans="10:10">
      <c r="J1113" s="164"/>
    </row>
    <row r="1114" spans="10:10">
      <c r="J1114" s="164"/>
    </row>
    <row r="1115" spans="10:10">
      <c r="J1115" s="164"/>
    </row>
    <row r="1116" spans="10:10">
      <c r="J1116" s="164"/>
    </row>
    <row r="1117" spans="10:10">
      <c r="J1117" s="164"/>
    </row>
    <row r="1118" spans="10:10">
      <c r="J1118" s="164"/>
    </row>
    <row r="1119" spans="10:10">
      <c r="J1119" s="164"/>
    </row>
    <row r="1120" spans="10:10">
      <c r="J1120" s="164"/>
    </row>
    <row r="1121" spans="10:10">
      <c r="J1121" s="164"/>
    </row>
    <row r="1122" spans="10:10">
      <c r="J1122" s="164"/>
    </row>
    <row r="1123" spans="10:10">
      <c r="J1123" s="164"/>
    </row>
    <row r="1124" spans="10:10">
      <c r="J1124" s="164"/>
    </row>
    <row r="1125" spans="10:10">
      <c r="J1125" s="164"/>
    </row>
    <row r="1126" spans="10:10">
      <c r="J1126" s="164"/>
    </row>
    <row r="1127" spans="10:10">
      <c r="J1127" s="164"/>
    </row>
    <row r="1128" spans="10:10">
      <c r="J1128" s="164"/>
    </row>
    <row r="1129" spans="10:10">
      <c r="J1129" s="164"/>
    </row>
    <row r="1130" spans="10:10">
      <c r="J1130" s="164"/>
    </row>
    <row r="1131" spans="10:10">
      <c r="J1131" s="164"/>
    </row>
    <row r="1132" spans="10:10">
      <c r="J1132" s="164"/>
    </row>
    <row r="1133" spans="10:10">
      <c r="J1133" s="164"/>
    </row>
    <row r="1134" spans="10:10">
      <c r="J1134" s="164"/>
    </row>
    <row r="1135" spans="10:10">
      <c r="J1135" s="164"/>
    </row>
    <row r="1136" spans="10:10">
      <c r="J1136" s="164"/>
    </row>
    <row r="1137" spans="10:10">
      <c r="J1137" s="164"/>
    </row>
    <row r="1138" spans="10:10">
      <c r="J1138" s="164"/>
    </row>
    <row r="1139" spans="10:10">
      <c r="J1139" s="164"/>
    </row>
    <row r="1140" spans="10:10">
      <c r="J1140" s="164"/>
    </row>
    <row r="1141" spans="10:10">
      <c r="J1141" s="164"/>
    </row>
    <row r="1142" spans="10:10">
      <c r="J1142" s="164"/>
    </row>
    <row r="1143" spans="10:10">
      <c r="J1143" s="164"/>
    </row>
    <row r="1144" spans="10:10">
      <c r="J1144" s="164"/>
    </row>
    <row r="1145" spans="10:10">
      <c r="J1145" s="164"/>
    </row>
    <row r="1146" spans="10:10">
      <c r="J1146" s="164"/>
    </row>
    <row r="1147" spans="10:10">
      <c r="J1147" s="164"/>
    </row>
    <row r="1148" spans="10:10">
      <c r="J1148" s="164"/>
    </row>
    <row r="1149" spans="10:10">
      <c r="J1149" s="164"/>
    </row>
    <row r="1150" spans="10:10">
      <c r="J1150" s="164"/>
    </row>
    <row r="1151" spans="10:10">
      <c r="J1151" s="164"/>
    </row>
    <row r="1152" spans="10:10">
      <c r="J1152" s="164"/>
    </row>
    <row r="1153" spans="10:10">
      <c r="J1153" s="164"/>
    </row>
    <row r="1154" spans="10:10">
      <c r="J1154" s="164"/>
    </row>
    <row r="1155" spans="10:10">
      <c r="J1155" s="164"/>
    </row>
    <row r="1156" spans="10:10">
      <c r="J1156" s="164"/>
    </row>
    <row r="1157" spans="10:10">
      <c r="J1157" s="164"/>
    </row>
    <row r="1158" spans="10:10">
      <c r="J1158" s="164"/>
    </row>
    <row r="1159" spans="10:10">
      <c r="J1159" s="164"/>
    </row>
    <row r="1160" spans="10:10">
      <c r="J1160" s="164"/>
    </row>
    <row r="1161" spans="10:10">
      <c r="J1161" s="164"/>
    </row>
    <row r="1162" spans="10:10">
      <c r="J1162" s="164"/>
    </row>
    <row r="1163" spans="10:10">
      <c r="J1163" s="164"/>
    </row>
    <row r="1164" spans="10:10">
      <c r="J1164" s="164"/>
    </row>
    <row r="1165" spans="10:10">
      <c r="J1165" s="164"/>
    </row>
    <row r="1166" spans="10:10">
      <c r="J1166" s="164"/>
    </row>
    <row r="1167" spans="10:10">
      <c r="J1167" s="164"/>
    </row>
    <row r="1168" spans="10:10">
      <c r="J1168" s="164"/>
    </row>
    <row r="1169" spans="10:10">
      <c r="J1169" s="164"/>
    </row>
    <row r="1170" spans="10:10">
      <c r="J1170" s="164"/>
    </row>
    <row r="1171" spans="10:10">
      <c r="J1171" s="164"/>
    </row>
    <row r="1172" spans="10:10">
      <c r="J1172" s="164"/>
    </row>
    <row r="1173" spans="10:10">
      <c r="J1173" s="164"/>
    </row>
    <row r="1174" spans="10:10">
      <c r="J1174" s="164"/>
    </row>
    <row r="1175" spans="10:10">
      <c r="J1175" s="164"/>
    </row>
    <row r="1176" spans="10:10">
      <c r="J1176" s="164"/>
    </row>
    <row r="1177" spans="10:10">
      <c r="J1177" s="164"/>
    </row>
    <row r="1178" spans="10:10">
      <c r="J1178" s="164"/>
    </row>
    <row r="1179" spans="10:10">
      <c r="J1179" s="164"/>
    </row>
    <row r="1180" spans="10:10">
      <c r="J1180" s="164"/>
    </row>
    <row r="1181" spans="10:10">
      <c r="J1181" s="164"/>
    </row>
    <row r="1182" spans="10:10">
      <c r="J1182" s="164"/>
    </row>
    <row r="1183" spans="10:10">
      <c r="J1183" s="164"/>
    </row>
    <row r="1184" spans="10:10">
      <c r="J1184" s="164"/>
    </row>
    <row r="1185" spans="10:10">
      <c r="J1185" s="164"/>
    </row>
    <row r="1186" spans="10:10">
      <c r="J1186" s="164"/>
    </row>
    <row r="1187" spans="10:10">
      <c r="J1187" s="164"/>
    </row>
    <row r="1188" spans="10:10">
      <c r="J1188" s="164"/>
    </row>
    <row r="1189" spans="10:10">
      <c r="J1189" s="164"/>
    </row>
    <row r="1190" spans="10:10">
      <c r="J1190" s="164"/>
    </row>
  </sheetData>
  <mergeCells count="1">
    <mergeCell ref="H10:I10"/>
  </mergeCells>
  <phoneticPr fontId="53" type="noConversion"/>
  <printOptions gridLines="1"/>
  <pageMargins left="0.47244094488188981" right="0.47244094488188981" top="0.78740157480314965" bottom="0.78740157480314965" header="0.31496062992125984" footer="0.31496062992125984"/>
  <pageSetup paperSize="8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41052-9CEE-4CBC-8E89-0A23BFEEC574}">
  <dimension ref="A1:IP1190"/>
  <sheetViews>
    <sheetView workbookViewId="0">
      <selection sqref="A1:XFD1048576"/>
    </sheetView>
  </sheetViews>
  <sheetFormatPr defaultColWidth="8.88671875" defaultRowHeight="14.4"/>
  <cols>
    <col min="1" max="1" width="3.44140625" style="25" customWidth="1"/>
    <col min="2" max="2" width="10.109375" style="26" customWidth="1"/>
    <col min="3" max="3" width="4.6640625" style="27" customWidth="1"/>
    <col min="4" max="4" width="38" style="35" customWidth="1"/>
    <col min="5" max="5" width="4.5546875" style="29" customWidth="1"/>
    <col min="6" max="6" width="9.21875" style="30" customWidth="1"/>
    <col min="7" max="7" width="14.109375" style="31" customWidth="1"/>
    <col min="8" max="8" width="12.109375" style="32" customWidth="1"/>
    <col min="9" max="9" width="5.77734375" style="33" customWidth="1"/>
    <col min="10" max="10" width="11" style="34" customWidth="1"/>
    <col min="11" max="11" width="21.33203125" style="35" customWidth="1"/>
    <col min="12" max="34" width="3.6640625" style="35" customWidth="1"/>
    <col min="35" max="35" width="10.33203125" style="35" customWidth="1"/>
    <col min="36" max="36" width="3.6640625" style="35" customWidth="1"/>
    <col min="37" max="37" width="12.6640625" style="35" customWidth="1"/>
    <col min="38" max="38" width="3.6640625" style="35" customWidth="1"/>
    <col min="39" max="39" width="5.33203125" style="35" customWidth="1"/>
    <col min="40" max="40" width="2" style="35" customWidth="1"/>
    <col min="41" max="41" width="1.6640625" style="35" customWidth="1"/>
    <col min="42" max="42" width="15.33203125" style="35" customWidth="1"/>
    <col min="43" max="43" width="13.6640625" style="35" customWidth="1"/>
    <col min="44" max="47" width="8.6640625" style="35" customWidth="1"/>
    <col min="48" max="16384" width="8.88671875" style="35"/>
  </cols>
  <sheetData>
    <row r="1" spans="2:43" ht="15.6">
      <c r="D1" s="256" t="s">
        <v>1432</v>
      </c>
      <c r="AQ1" s="36"/>
    </row>
    <row r="2" spans="2:43">
      <c r="D2" s="28"/>
      <c r="AQ2" s="36"/>
    </row>
    <row r="3" spans="2:43">
      <c r="D3" s="28" t="s">
        <v>960</v>
      </c>
      <c r="AQ3" s="36"/>
    </row>
    <row r="4" spans="2:43">
      <c r="D4" s="28"/>
      <c r="F4" s="37"/>
      <c r="G4" s="38"/>
      <c r="H4" s="39"/>
      <c r="AQ4" s="36"/>
    </row>
    <row r="5" spans="2:43">
      <c r="D5" s="40" t="s">
        <v>0</v>
      </c>
      <c r="H5" s="39"/>
      <c r="AQ5" s="36"/>
    </row>
    <row r="6" spans="2:43">
      <c r="F6" s="38"/>
      <c r="G6" s="38"/>
      <c r="H6" s="39"/>
      <c r="AQ6" s="36"/>
    </row>
    <row r="7" spans="2:43" ht="24">
      <c r="D7" s="28" t="s">
        <v>1</v>
      </c>
      <c r="H7" s="41"/>
      <c r="I7" s="42"/>
      <c r="AQ7" s="36"/>
    </row>
    <row r="8" spans="2:43">
      <c r="D8" s="28"/>
      <c r="H8" s="39"/>
      <c r="AQ8" s="36"/>
    </row>
    <row r="9" spans="2:43" ht="15" customHeight="1">
      <c r="D9" s="43" t="s">
        <v>2</v>
      </c>
      <c r="H9" s="39"/>
      <c r="AQ9" s="36"/>
    </row>
    <row r="10" spans="2:43" ht="12">
      <c r="D10" s="43" t="s">
        <v>3</v>
      </c>
      <c r="H10" s="275"/>
      <c r="I10" s="275"/>
      <c r="AQ10" s="36"/>
    </row>
    <row r="11" spans="2:43" ht="18" customHeight="1">
      <c r="D11" s="43"/>
      <c r="AQ11" s="36"/>
    </row>
    <row r="12" spans="2:43">
      <c r="D12" s="43"/>
      <c r="AQ12" s="36"/>
    </row>
    <row r="13" spans="2:43">
      <c r="B13" s="44"/>
      <c r="C13" s="45"/>
      <c r="D13" s="46" t="s">
        <v>1361</v>
      </c>
      <c r="E13" s="47"/>
      <c r="F13" s="48"/>
      <c r="G13" s="49"/>
      <c r="H13" s="50"/>
      <c r="AQ13" s="36"/>
    </row>
    <row r="14" spans="2:43" ht="16.95" customHeight="1">
      <c r="B14" s="44"/>
      <c r="C14" s="45"/>
      <c r="D14" s="51" t="s">
        <v>4</v>
      </c>
      <c r="E14" s="47"/>
      <c r="F14" s="48"/>
      <c r="G14" s="49"/>
      <c r="H14" s="50"/>
      <c r="J14" s="52"/>
      <c r="AQ14" s="36"/>
    </row>
    <row r="15" spans="2:43">
      <c r="B15" s="44"/>
      <c r="C15" s="45"/>
      <c r="D15" s="53" t="s">
        <v>5</v>
      </c>
      <c r="E15" s="47" t="s">
        <v>6</v>
      </c>
      <c r="F15" s="48"/>
      <c r="G15" s="49"/>
      <c r="H15" s="39">
        <f>H44</f>
        <v>536210.04</v>
      </c>
      <c r="AQ15" s="36"/>
    </row>
    <row r="16" spans="2:43">
      <c r="B16" s="44"/>
      <c r="C16" s="45"/>
      <c r="D16" s="54" t="s">
        <v>949</v>
      </c>
      <c r="E16" s="47" t="s">
        <v>6</v>
      </c>
      <c r="F16" s="48"/>
      <c r="G16" s="49"/>
      <c r="H16" s="39">
        <f>H86</f>
        <v>863771.6</v>
      </c>
      <c r="AQ16" s="36"/>
    </row>
    <row r="17" spans="1:43" ht="15.6" customHeight="1">
      <c r="B17" s="44"/>
      <c r="C17" s="45"/>
      <c r="D17" s="54" t="s">
        <v>7</v>
      </c>
      <c r="E17" s="47" t="s">
        <v>6</v>
      </c>
      <c r="F17" s="48"/>
      <c r="G17" s="49"/>
      <c r="H17" s="39">
        <f>H102</f>
        <v>1455458.3</v>
      </c>
      <c r="AQ17" s="36"/>
    </row>
    <row r="18" spans="1:43">
      <c r="B18" s="44"/>
      <c r="C18" s="45"/>
      <c r="D18" s="54" t="s">
        <v>8</v>
      </c>
      <c r="E18" s="47" t="s">
        <v>6</v>
      </c>
      <c r="F18" s="48"/>
      <c r="G18" s="49"/>
      <c r="H18" s="39">
        <f>H600</f>
        <v>2939120.7</v>
      </c>
      <c r="AQ18" s="36"/>
    </row>
    <row r="19" spans="1:43">
      <c r="D19" s="55" t="s">
        <v>9</v>
      </c>
      <c r="E19" s="47" t="s">
        <v>6</v>
      </c>
      <c r="F19" s="56"/>
      <c r="G19" s="57"/>
      <c r="H19" s="39">
        <f>H763</f>
        <v>14750.98</v>
      </c>
      <c r="AQ19" s="36"/>
    </row>
    <row r="20" spans="1:43">
      <c r="D20" s="55" t="s">
        <v>10</v>
      </c>
      <c r="E20" s="47" t="s">
        <v>6</v>
      </c>
      <c r="F20" s="56"/>
      <c r="G20" s="57"/>
      <c r="H20" s="39">
        <f>H783</f>
        <v>211952.93</v>
      </c>
      <c r="AQ20" s="36"/>
    </row>
    <row r="21" spans="1:43">
      <c r="D21" s="55"/>
      <c r="E21" s="47"/>
      <c r="F21" s="56"/>
      <c r="G21" s="57"/>
      <c r="H21" s="39"/>
      <c r="AQ21" s="36"/>
    </row>
    <row r="22" spans="1:43">
      <c r="A22" s="58"/>
      <c r="B22" s="59"/>
      <c r="C22" s="60"/>
      <c r="D22" s="61" t="s">
        <v>1307</v>
      </c>
      <c r="E22" s="47" t="s">
        <v>6</v>
      </c>
      <c r="F22" s="62"/>
      <c r="G22" s="63"/>
      <c r="H22" s="39">
        <f>SUM(H15:H21)</f>
        <v>6021264.5500000007</v>
      </c>
      <c r="AQ22" s="36"/>
    </row>
    <row r="23" spans="1:43">
      <c r="A23" s="58"/>
      <c r="B23" s="59"/>
      <c r="C23" s="60"/>
      <c r="D23" s="61"/>
      <c r="E23" s="64"/>
      <c r="F23" s="62"/>
      <c r="G23" s="63"/>
      <c r="H23" s="65"/>
      <c r="AQ23" s="36"/>
    </row>
    <row r="24" spans="1:43">
      <c r="A24" s="58"/>
      <c r="B24" s="59"/>
      <c r="C24" s="60"/>
      <c r="D24" s="66" t="s">
        <v>11</v>
      </c>
      <c r="E24" s="47" t="s">
        <v>6</v>
      </c>
      <c r="F24" s="62"/>
      <c r="G24" s="63"/>
      <c r="H24" s="39">
        <f>H787</f>
        <v>311000</v>
      </c>
      <c r="AQ24" s="36"/>
    </row>
    <row r="25" spans="1:43">
      <c r="A25" s="58"/>
      <c r="B25" s="59"/>
      <c r="C25" s="60"/>
      <c r="D25" s="66"/>
      <c r="E25" s="47"/>
      <c r="F25" s="62"/>
      <c r="G25" s="63"/>
      <c r="H25" s="39"/>
      <c r="AQ25" s="36"/>
    </row>
    <row r="26" spans="1:43">
      <c r="A26" s="58"/>
      <c r="B26" s="59"/>
      <c r="C26" s="60"/>
      <c r="D26" s="67"/>
      <c r="E26" s="64"/>
      <c r="F26" s="62"/>
      <c r="G26" s="63"/>
      <c r="H26" s="65"/>
      <c r="AQ26" s="36"/>
    </row>
    <row r="27" spans="1:43">
      <c r="A27" s="58"/>
      <c r="B27" s="59"/>
      <c r="C27" s="60"/>
      <c r="D27" s="61" t="s">
        <v>12</v>
      </c>
      <c r="E27" s="47" t="s">
        <v>6</v>
      </c>
      <c r="F27" s="68"/>
      <c r="G27" s="69"/>
      <c r="H27" s="39">
        <f>SUM(H22:H24)</f>
        <v>6332264.5500000007</v>
      </c>
      <c r="AQ27" s="36"/>
    </row>
    <row r="28" spans="1:43">
      <c r="A28" s="58"/>
      <c r="B28" s="59"/>
      <c r="C28" s="60"/>
      <c r="D28" s="67"/>
      <c r="E28" s="64"/>
      <c r="F28" s="62"/>
      <c r="G28" s="63"/>
      <c r="H28" s="65"/>
      <c r="AQ28" s="36"/>
    </row>
    <row r="29" spans="1:43">
      <c r="A29" s="58"/>
      <c r="B29" s="59"/>
      <c r="C29" s="60"/>
      <c r="D29" s="70" t="s">
        <v>13</v>
      </c>
      <c r="E29" s="47" t="s">
        <v>6</v>
      </c>
      <c r="F29" s="62"/>
      <c r="G29" s="63"/>
      <c r="H29" s="65">
        <f>H27*0.21</f>
        <v>1329775.5555</v>
      </c>
      <c r="AQ29" s="36"/>
    </row>
    <row r="30" spans="1:43">
      <c r="A30" s="58"/>
      <c r="B30" s="59"/>
      <c r="C30" s="60"/>
      <c r="D30" s="55"/>
      <c r="E30" s="64"/>
      <c r="F30" s="62"/>
      <c r="G30" s="63"/>
      <c r="H30" s="65"/>
      <c r="AQ30" s="36"/>
    </row>
    <row r="31" spans="1:43">
      <c r="D31" s="61" t="s">
        <v>14</v>
      </c>
      <c r="E31" s="47" t="s">
        <v>6</v>
      </c>
      <c r="H31" s="39">
        <f>ROUND((SUM(H27:H30)),2)</f>
        <v>7662040.1100000003</v>
      </c>
      <c r="AQ31" s="36"/>
    </row>
    <row r="32" spans="1:43">
      <c r="D32" s="61"/>
      <c r="H32" s="39"/>
      <c r="AQ32" s="36"/>
    </row>
    <row r="33" spans="1:250">
      <c r="D33" s="61"/>
      <c r="H33" s="39"/>
      <c r="AQ33" s="36"/>
    </row>
    <row r="34" spans="1:250">
      <c r="A34" s="58"/>
      <c r="B34" s="59"/>
      <c r="C34" s="60"/>
      <c r="D34" s="55"/>
      <c r="E34" s="64"/>
      <c r="F34" s="62"/>
      <c r="G34" s="63"/>
      <c r="H34" s="71"/>
      <c r="AQ34" s="36"/>
    </row>
    <row r="35" spans="1:250">
      <c r="A35" s="72" t="s">
        <v>15</v>
      </c>
      <c r="B35" s="73" t="s">
        <v>16</v>
      </c>
      <c r="C35" s="74"/>
      <c r="D35" s="75" t="s">
        <v>17</v>
      </c>
      <c r="E35" s="76" t="s">
        <v>18</v>
      </c>
      <c r="F35" s="77" t="s">
        <v>19</v>
      </c>
      <c r="G35" s="77" t="s">
        <v>20</v>
      </c>
      <c r="H35" s="78" t="s">
        <v>21</v>
      </c>
      <c r="J35" s="79"/>
      <c r="K35" s="80"/>
      <c r="L35" s="81"/>
      <c r="M35" s="82"/>
      <c r="N35" s="83"/>
      <c r="O35" s="43"/>
      <c r="P35" s="83"/>
      <c r="Q35" s="84"/>
      <c r="R35" s="84"/>
      <c r="S35" s="80"/>
      <c r="T35" s="81"/>
      <c r="U35" s="82"/>
      <c r="V35" s="83"/>
      <c r="W35" s="43"/>
      <c r="X35" s="83"/>
      <c r="Y35" s="84"/>
      <c r="Z35" s="84"/>
      <c r="AA35" s="80"/>
      <c r="AB35" s="81"/>
      <c r="AC35" s="82"/>
      <c r="AD35" s="83"/>
      <c r="AE35" s="43"/>
      <c r="AF35" s="83"/>
      <c r="AG35" s="84"/>
      <c r="AH35" s="84"/>
      <c r="AI35" s="80"/>
      <c r="AJ35" s="81"/>
      <c r="AK35" s="82"/>
      <c r="AL35" s="83"/>
      <c r="AM35" s="43"/>
      <c r="AN35" s="83"/>
      <c r="AO35" s="84"/>
      <c r="AP35" s="84"/>
      <c r="AQ35" s="80"/>
      <c r="AR35" s="81"/>
      <c r="AS35" s="82"/>
      <c r="AT35" s="83"/>
      <c r="AU35" s="43"/>
      <c r="AV35" s="83"/>
      <c r="AW35" s="84"/>
      <c r="AX35" s="84"/>
      <c r="AY35" s="80"/>
      <c r="AZ35" s="81"/>
      <c r="BA35" s="82"/>
      <c r="BB35" s="83"/>
      <c r="BC35" s="43"/>
      <c r="BD35" s="83"/>
      <c r="BE35" s="84"/>
      <c r="BF35" s="84"/>
      <c r="BG35" s="80"/>
      <c r="BH35" s="81"/>
      <c r="BI35" s="82"/>
      <c r="BJ35" s="83"/>
      <c r="BK35" s="43"/>
      <c r="BL35" s="83"/>
      <c r="BM35" s="84"/>
      <c r="BN35" s="84"/>
      <c r="BO35" s="80"/>
      <c r="BP35" s="81"/>
      <c r="BQ35" s="82"/>
      <c r="BR35" s="83"/>
      <c r="BS35" s="43"/>
      <c r="BT35" s="83"/>
      <c r="BU35" s="84"/>
      <c r="BV35" s="84"/>
      <c r="BW35" s="80"/>
      <c r="BX35" s="81"/>
      <c r="BY35" s="82"/>
      <c r="BZ35" s="83"/>
      <c r="CA35" s="43"/>
      <c r="CB35" s="83"/>
      <c r="CC35" s="84"/>
      <c r="CD35" s="84"/>
      <c r="CE35" s="80"/>
      <c r="CF35" s="81"/>
      <c r="CG35" s="82"/>
      <c r="CH35" s="83"/>
      <c r="CI35" s="43"/>
      <c r="CJ35" s="83"/>
      <c r="CK35" s="84"/>
      <c r="CL35" s="84"/>
      <c r="CM35" s="80"/>
      <c r="CN35" s="81"/>
      <c r="CO35" s="82"/>
      <c r="CP35" s="83"/>
      <c r="CQ35" s="43"/>
      <c r="CR35" s="83"/>
      <c r="CS35" s="84"/>
      <c r="CT35" s="84"/>
      <c r="CU35" s="80"/>
      <c r="CV35" s="81"/>
      <c r="CW35" s="82"/>
      <c r="CX35" s="83"/>
      <c r="CY35" s="43"/>
      <c r="CZ35" s="83"/>
      <c r="DA35" s="84"/>
      <c r="DB35" s="84"/>
      <c r="DC35" s="80"/>
      <c r="DD35" s="81"/>
      <c r="DE35" s="82"/>
      <c r="DF35" s="83"/>
      <c r="DG35" s="43"/>
      <c r="DH35" s="83"/>
      <c r="DI35" s="84"/>
      <c r="DJ35" s="84"/>
      <c r="DK35" s="80"/>
      <c r="DL35" s="81"/>
      <c r="DM35" s="82"/>
      <c r="DN35" s="83"/>
      <c r="DO35" s="43"/>
      <c r="DP35" s="83"/>
      <c r="DQ35" s="84"/>
      <c r="DR35" s="84"/>
      <c r="DS35" s="80"/>
      <c r="DT35" s="81"/>
      <c r="DU35" s="82"/>
      <c r="DV35" s="83"/>
      <c r="DW35" s="43"/>
      <c r="DX35" s="83"/>
      <c r="DY35" s="84"/>
      <c r="DZ35" s="84"/>
      <c r="EA35" s="80"/>
      <c r="EB35" s="81"/>
      <c r="EC35" s="82"/>
      <c r="ED35" s="83"/>
      <c r="EE35" s="43"/>
      <c r="EF35" s="83"/>
      <c r="EG35" s="84"/>
      <c r="EH35" s="84"/>
      <c r="EI35" s="80"/>
      <c r="EJ35" s="81"/>
      <c r="EK35" s="82"/>
      <c r="EL35" s="83"/>
      <c r="EM35" s="43"/>
      <c r="EN35" s="83"/>
      <c r="EO35" s="84"/>
      <c r="EP35" s="84"/>
      <c r="EQ35" s="80"/>
      <c r="ER35" s="81"/>
      <c r="ES35" s="82"/>
      <c r="ET35" s="83"/>
      <c r="EU35" s="43"/>
      <c r="EV35" s="83"/>
      <c r="EW35" s="84"/>
      <c r="EX35" s="84"/>
      <c r="EY35" s="80"/>
      <c r="EZ35" s="81"/>
      <c r="FA35" s="82"/>
      <c r="FB35" s="83"/>
      <c r="FC35" s="43"/>
      <c r="FD35" s="83"/>
      <c r="FE35" s="84"/>
      <c r="FF35" s="84"/>
      <c r="FG35" s="80"/>
      <c r="FH35" s="81"/>
      <c r="FI35" s="82"/>
      <c r="FJ35" s="83"/>
      <c r="FK35" s="43"/>
      <c r="FL35" s="83"/>
      <c r="FM35" s="84"/>
      <c r="FN35" s="84"/>
      <c r="FO35" s="80"/>
      <c r="FP35" s="81"/>
      <c r="FQ35" s="82"/>
      <c r="FR35" s="83"/>
      <c r="FS35" s="43"/>
      <c r="FT35" s="83"/>
      <c r="FU35" s="84"/>
      <c r="FV35" s="84"/>
      <c r="FW35" s="80"/>
      <c r="FX35" s="81"/>
      <c r="FY35" s="82"/>
      <c r="FZ35" s="83"/>
      <c r="GA35" s="43"/>
      <c r="GB35" s="83"/>
      <c r="GC35" s="84"/>
      <c r="GD35" s="84"/>
      <c r="GE35" s="80"/>
      <c r="GF35" s="81"/>
      <c r="GG35" s="82"/>
      <c r="GH35" s="83"/>
      <c r="GI35" s="43"/>
      <c r="GJ35" s="83"/>
      <c r="GK35" s="84"/>
      <c r="GL35" s="84"/>
      <c r="GM35" s="80"/>
      <c r="GN35" s="81"/>
      <c r="GO35" s="82"/>
      <c r="GP35" s="83"/>
      <c r="GQ35" s="43"/>
      <c r="GR35" s="83"/>
      <c r="GS35" s="84"/>
      <c r="GT35" s="84"/>
      <c r="GU35" s="80"/>
      <c r="GV35" s="81"/>
      <c r="GW35" s="82"/>
      <c r="GX35" s="83"/>
      <c r="GY35" s="43"/>
      <c r="GZ35" s="83"/>
      <c r="HA35" s="84"/>
      <c r="HB35" s="84"/>
      <c r="HC35" s="80"/>
      <c r="HD35" s="81"/>
      <c r="HE35" s="82"/>
      <c r="HF35" s="83"/>
      <c r="HG35" s="43"/>
      <c r="HH35" s="83"/>
      <c r="HI35" s="84"/>
      <c r="HJ35" s="84"/>
      <c r="HK35" s="80"/>
      <c r="HL35" s="81"/>
      <c r="HM35" s="82"/>
      <c r="HN35" s="83"/>
      <c r="HO35" s="43"/>
      <c r="HP35" s="83"/>
      <c r="HQ35" s="84"/>
      <c r="HR35" s="84"/>
      <c r="HS35" s="80"/>
      <c r="HT35" s="81"/>
      <c r="HU35" s="82"/>
      <c r="HV35" s="83"/>
      <c r="HW35" s="43"/>
      <c r="HX35" s="83"/>
      <c r="HY35" s="84"/>
      <c r="HZ35" s="84"/>
      <c r="IA35" s="80"/>
      <c r="IB35" s="81"/>
      <c r="IC35" s="82"/>
      <c r="ID35" s="83"/>
      <c r="IE35" s="43"/>
      <c r="IF35" s="83"/>
      <c r="IG35" s="84"/>
      <c r="IH35" s="84"/>
      <c r="II35" s="80"/>
      <c r="IJ35" s="81"/>
      <c r="IK35" s="82"/>
      <c r="IL35" s="83"/>
      <c r="IM35" s="43"/>
      <c r="IN35" s="83"/>
      <c r="IO35" s="84"/>
      <c r="IP35" s="84"/>
    </row>
    <row r="36" spans="1:250">
      <c r="A36" s="58" t="s">
        <v>1326</v>
      </c>
      <c r="B36" s="59"/>
      <c r="C36" s="60"/>
      <c r="D36" s="55" t="s">
        <v>26</v>
      </c>
      <c r="E36" s="64"/>
      <c r="F36" s="62"/>
      <c r="G36" s="63"/>
      <c r="H36" s="71"/>
      <c r="AQ36" s="36"/>
    </row>
    <row r="37" spans="1:250" ht="48.6">
      <c r="A37" s="58" t="s">
        <v>22</v>
      </c>
      <c r="B37" s="59"/>
      <c r="C37" s="60"/>
      <c r="D37" s="85" t="s">
        <v>1353</v>
      </c>
      <c r="E37" s="64"/>
      <c r="F37" s="62"/>
      <c r="G37" s="63"/>
      <c r="H37" s="71"/>
      <c r="AQ37" s="36"/>
    </row>
    <row r="38" spans="1:250" ht="48">
      <c r="A38" s="58" t="s">
        <v>23</v>
      </c>
      <c r="B38" s="59"/>
      <c r="C38" s="60"/>
      <c r="D38" s="86" t="s">
        <v>1434</v>
      </c>
      <c r="E38" s="64"/>
      <c r="F38" s="62"/>
      <c r="G38" s="63"/>
      <c r="H38" s="71"/>
      <c r="AQ38" s="36"/>
    </row>
    <row r="39" spans="1:250">
      <c r="A39" s="58" t="s">
        <v>24</v>
      </c>
      <c r="B39" s="59"/>
      <c r="C39" s="60"/>
      <c r="D39" s="55" t="s">
        <v>1355</v>
      </c>
      <c r="E39" s="64"/>
      <c r="F39" s="62"/>
      <c r="G39" s="63"/>
      <c r="H39" s="71"/>
      <c r="AQ39" s="36"/>
    </row>
    <row r="40" spans="1:250" ht="72.599999999999994">
      <c r="A40" s="58" t="s">
        <v>25</v>
      </c>
      <c r="B40" s="59"/>
      <c r="C40" s="60"/>
      <c r="D40" s="35" t="s">
        <v>1356</v>
      </c>
      <c r="E40" s="64"/>
      <c r="F40" s="62"/>
      <c r="G40" s="63"/>
      <c r="H40" s="71"/>
      <c r="AQ40" s="36"/>
    </row>
    <row r="41" spans="1:250" ht="24.6">
      <c r="A41" s="58" t="s">
        <v>27</v>
      </c>
      <c r="B41" s="59"/>
      <c r="C41" s="60"/>
      <c r="D41" s="85" t="s">
        <v>1357</v>
      </c>
      <c r="E41" s="64"/>
      <c r="F41" s="62"/>
      <c r="G41" s="63"/>
      <c r="H41" s="71"/>
      <c r="AQ41" s="36"/>
    </row>
    <row r="42" spans="1:250">
      <c r="A42" s="58" t="s">
        <v>28</v>
      </c>
      <c r="B42" s="44"/>
      <c r="C42" s="45"/>
      <c r="E42" s="47"/>
      <c r="F42" s="48"/>
      <c r="G42" s="49"/>
      <c r="H42" s="50"/>
      <c r="AQ42" s="36"/>
    </row>
    <row r="43" spans="1:250">
      <c r="A43" s="58" t="s">
        <v>29</v>
      </c>
      <c r="B43" s="44"/>
      <c r="C43" s="45"/>
      <c r="E43" s="47"/>
      <c r="F43" s="48"/>
      <c r="G43" s="49"/>
      <c r="H43" s="50"/>
      <c r="AQ43" s="36"/>
    </row>
    <row r="44" spans="1:250" ht="24.6">
      <c r="A44" s="58" t="s">
        <v>30</v>
      </c>
      <c r="B44" s="44"/>
      <c r="C44" s="45"/>
      <c r="D44" s="46" t="s">
        <v>946</v>
      </c>
      <c r="E44" s="87" t="s">
        <v>37</v>
      </c>
      <c r="F44" s="88" t="s">
        <v>38</v>
      </c>
      <c r="G44" s="49"/>
      <c r="H44" s="89">
        <f>SUM(H47:H84)</f>
        <v>536210.04</v>
      </c>
      <c r="AQ44" s="36"/>
    </row>
    <row r="45" spans="1:250">
      <c r="A45" s="58" t="s">
        <v>31</v>
      </c>
      <c r="B45" s="44"/>
      <c r="C45" s="45"/>
      <c r="D45" s="90"/>
      <c r="E45" s="87"/>
      <c r="F45" s="88"/>
      <c r="G45" s="49"/>
      <c r="H45" s="89"/>
      <c r="AQ45" s="36"/>
    </row>
    <row r="46" spans="1:250" ht="72.599999999999994">
      <c r="A46" s="58" t="s">
        <v>32</v>
      </c>
      <c r="B46" s="44" t="s">
        <v>1362</v>
      </c>
      <c r="C46" s="45"/>
      <c r="D46" s="54" t="s">
        <v>1363</v>
      </c>
      <c r="E46" s="87"/>
      <c r="F46" s="88"/>
      <c r="G46" s="49"/>
      <c r="H46" s="89"/>
      <c r="AQ46" s="36"/>
    </row>
    <row r="47" spans="1:250">
      <c r="A47" s="58" t="s">
        <v>33</v>
      </c>
      <c r="B47" s="44"/>
      <c r="C47" s="45"/>
      <c r="D47" s="54" t="s">
        <v>1308</v>
      </c>
      <c r="E47" s="47" t="s">
        <v>41</v>
      </c>
      <c r="F47" s="48">
        <f>410*1*1.2</f>
        <v>492</v>
      </c>
      <c r="G47" s="49">
        <f>297.51+212</f>
        <v>509.51</v>
      </c>
      <c r="H47" s="50">
        <f>ROUND((F47*G47),2)</f>
        <v>250678.92</v>
      </c>
      <c r="AQ47" s="36"/>
    </row>
    <row r="48" spans="1:250" ht="24.6">
      <c r="A48" s="58" t="s">
        <v>34</v>
      </c>
      <c r="B48" s="44"/>
      <c r="C48" s="45"/>
      <c r="D48" s="54" t="s">
        <v>1137</v>
      </c>
      <c r="E48" s="47" t="s">
        <v>41</v>
      </c>
      <c r="F48" s="48">
        <f>2*2 +(2+2)*2*1.5</f>
        <v>16</v>
      </c>
      <c r="G48" s="49">
        <f>G47</f>
        <v>509.51</v>
      </c>
      <c r="H48" s="50">
        <f>ROUND((F48*G48),2)</f>
        <v>8152.16</v>
      </c>
      <c r="AQ48" s="36"/>
    </row>
    <row r="49" spans="1:43">
      <c r="A49" s="58" t="s">
        <v>35</v>
      </c>
      <c r="B49" s="44">
        <v>998011014</v>
      </c>
      <c r="C49" s="45"/>
      <c r="D49" s="54" t="s">
        <v>1364</v>
      </c>
      <c r="E49" s="47"/>
      <c r="F49" s="48"/>
      <c r="G49" s="49"/>
      <c r="H49" s="50"/>
      <c r="AQ49" s="36"/>
    </row>
    <row r="50" spans="1:43">
      <c r="A50" s="58" t="s">
        <v>36</v>
      </c>
      <c r="B50" s="44"/>
      <c r="C50" s="45"/>
      <c r="D50" s="54" t="s">
        <v>1309</v>
      </c>
      <c r="E50" s="47" t="s">
        <v>117</v>
      </c>
      <c r="F50" s="48">
        <f>(492)*0.0114</f>
        <v>5.6088000000000005</v>
      </c>
      <c r="G50" s="49">
        <v>228</v>
      </c>
      <c r="H50" s="50">
        <f>ROUND((F50*G50),2)</f>
        <v>1278.81</v>
      </c>
      <c r="AQ50" s="36"/>
    </row>
    <row r="51" spans="1:43">
      <c r="A51" s="58" t="s">
        <v>39</v>
      </c>
      <c r="B51" s="44"/>
      <c r="C51" s="45"/>
      <c r="D51" s="54"/>
      <c r="E51" s="47"/>
      <c r="F51" s="48"/>
      <c r="G51" s="49"/>
      <c r="H51" s="50"/>
      <c r="AQ51" s="36"/>
    </row>
    <row r="52" spans="1:43" ht="48.6">
      <c r="A52" s="58" t="s">
        <v>40</v>
      </c>
      <c r="B52" s="44" t="s">
        <v>1310</v>
      </c>
      <c r="C52" s="45"/>
      <c r="D52" s="54" t="s">
        <v>1365</v>
      </c>
      <c r="E52" s="87"/>
      <c r="F52" s="88"/>
      <c r="G52" s="49"/>
      <c r="H52" s="50"/>
      <c r="AQ52" s="36"/>
    </row>
    <row r="53" spans="1:43">
      <c r="A53" s="58" t="s">
        <v>42</v>
      </c>
      <c r="B53" s="44"/>
      <c r="C53" s="45"/>
      <c r="D53" s="54" t="s">
        <v>1319</v>
      </c>
      <c r="E53" s="47" t="s">
        <v>41</v>
      </c>
      <c r="F53" s="48">
        <f>1.5*1.5*410</f>
        <v>922.5</v>
      </c>
      <c r="G53" s="49">
        <v>69.7</v>
      </c>
      <c r="H53" s="50">
        <f>ROUND((F53*G53),2)</f>
        <v>64298.25</v>
      </c>
      <c r="AQ53" s="36"/>
    </row>
    <row r="54" spans="1:43">
      <c r="A54" s="58" t="s">
        <v>44</v>
      </c>
      <c r="B54" s="44"/>
      <c r="C54" s="45"/>
      <c r="D54" s="91"/>
      <c r="E54" s="47"/>
      <c r="F54" s="48"/>
      <c r="G54" s="49"/>
      <c r="H54" s="50"/>
      <c r="AQ54" s="36"/>
    </row>
    <row r="55" spans="1:43">
      <c r="A55" s="58" t="s">
        <v>45</v>
      </c>
      <c r="B55" s="44">
        <v>735494811</v>
      </c>
      <c r="C55" s="45"/>
      <c r="D55" s="92" t="s">
        <v>48</v>
      </c>
      <c r="E55" s="47" t="s">
        <v>41</v>
      </c>
      <c r="F55" s="88">
        <f>SUM(F56:F63)</f>
        <v>1930.2349999999999</v>
      </c>
      <c r="G55" s="49">
        <v>25.7</v>
      </c>
      <c r="H55" s="50">
        <f>ROUND((F55*G55),2)</f>
        <v>49607.040000000001</v>
      </c>
      <c r="J55" s="93"/>
      <c r="AQ55" s="36"/>
    </row>
    <row r="56" spans="1:43">
      <c r="A56" s="58" t="s">
        <v>43</v>
      </c>
      <c r="B56" s="44"/>
      <c r="C56" s="45"/>
      <c r="D56" s="94" t="s">
        <v>1312</v>
      </c>
      <c r="E56" s="87"/>
      <c r="F56" s="95">
        <f>F143</f>
        <v>596.61499999999978</v>
      </c>
      <c r="G56" s="49"/>
      <c r="H56" s="50"/>
      <c r="AQ56" s="36"/>
    </row>
    <row r="57" spans="1:43">
      <c r="A57" s="58" t="s">
        <v>46</v>
      </c>
      <c r="B57" s="44"/>
      <c r="C57" s="45"/>
      <c r="D57" s="94" t="s">
        <v>1313</v>
      </c>
      <c r="E57" s="47"/>
      <c r="F57" s="48">
        <f>F256</f>
        <v>430.78999999999991</v>
      </c>
      <c r="G57" s="49"/>
      <c r="AQ57" s="36"/>
    </row>
    <row r="58" spans="1:43">
      <c r="A58" s="58" t="s">
        <v>47</v>
      </c>
      <c r="B58" s="44"/>
      <c r="C58" s="45"/>
      <c r="D58" s="94" t="s">
        <v>1138</v>
      </c>
      <c r="E58" s="47"/>
      <c r="F58" s="48">
        <f>F356</f>
        <v>174.25</v>
      </c>
      <c r="G58" s="49"/>
      <c r="H58" s="50"/>
      <c r="AQ58" s="36"/>
    </row>
    <row r="59" spans="1:43">
      <c r="A59" s="58" t="s">
        <v>49</v>
      </c>
      <c r="B59" s="44"/>
      <c r="C59" s="45"/>
      <c r="D59" s="94" t="s">
        <v>1139</v>
      </c>
      <c r="E59" s="47"/>
      <c r="F59" s="48">
        <f>F389</f>
        <v>124.43000000000002</v>
      </c>
      <c r="G59" s="49"/>
      <c r="H59" s="50"/>
      <c r="AQ59" s="36"/>
    </row>
    <row r="60" spans="1:43">
      <c r="A60" s="58" t="s">
        <v>50</v>
      </c>
      <c r="B60" s="44"/>
      <c r="C60" s="45"/>
      <c r="D60" s="94" t="s">
        <v>1140</v>
      </c>
      <c r="E60" s="47"/>
      <c r="F60" s="48">
        <f>F419</f>
        <v>223.32500000000005</v>
      </c>
      <c r="G60" s="49"/>
      <c r="H60" s="50"/>
      <c r="AQ60" s="36"/>
    </row>
    <row r="61" spans="1:43">
      <c r="A61" s="58" t="s">
        <v>51</v>
      </c>
      <c r="B61" s="44"/>
      <c r="C61" s="45"/>
      <c r="D61" s="94" t="s">
        <v>1141</v>
      </c>
      <c r="E61" s="47"/>
      <c r="F61" s="48">
        <f>F465</f>
        <v>174.63499999999996</v>
      </c>
      <c r="G61" s="49"/>
      <c r="H61" s="50"/>
      <c r="AQ61" s="36"/>
    </row>
    <row r="62" spans="1:43">
      <c r="A62" s="58" t="s">
        <v>52</v>
      </c>
      <c r="B62" s="44"/>
      <c r="C62" s="45"/>
      <c r="D62" s="94" t="s">
        <v>1142</v>
      </c>
      <c r="E62" s="47"/>
      <c r="F62" s="48">
        <f>F529</f>
        <v>135.53500000000003</v>
      </c>
      <c r="G62" s="49"/>
      <c r="H62" s="50"/>
      <c r="AQ62" s="36"/>
    </row>
    <row r="63" spans="1:43">
      <c r="A63" s="58" t="s">
        <v>53</v>
      </c>
      <c r="B63" s="44"/>
      <c r="C63" s="45"/>
      <c r="D63" s="94" t="s">
        <v>1143</v>
      </c>
      <c r="E63" s="47"/>
      <c r="F63" s="48">
        <f>F566</f>
        <v>70.655000000000001</v>
      </c>
      <c r="G63" s="49"/>
      <c r="H63" s="50"/>
      <c r="AQ63" s="36"/>
    </row>
    <row r="64" spans="1:43">
      <c r="A64" s="58" t="s">
        <v>54</v>
      </c>
      <c r="B64" s="44"/>
      <c r="C64" s="45"/>
      <c r="D64" s="85"/>
      <c r="E64" s="47"/>
      <c r="F64" s="48"/>
      <c r="G64" s="49"/>
      <c r="H64" s="50"/>
      <c r="AQ64" s="36"/>
    </row>
    <row r="65" spans="1:43" ht="27.6">
      <c r="A65" s="58" t="s">
        <v>55</v>
      </c>
      <c r="B65" s="44">
        <v>735494811</v>
      </c>
      <c r="C65" s="45"/>
      <c r="D65" s="96" t="s">
        <v>57</v>
      </c>
      <c r="E65" s="47" t="s">
        <v>41</v>
      </c>
      <c r="F65" s="97">
        <f>SUM(F66:F71)</f>
        <v>112.41199999999998</v>
      </c>
      <c r="G65" s="49">
        <v>25.7</v>
      </c>
      <c r="H65" s="50">
        <f>ROUND((F65*G65),2)</f>
        <v>2888.99</v>
      </c>
      <c r="J65" s="93"/>
      <c r="AQ65" s="36"/>
    </row>
    <row r="66" spans="1:43">
      <c r="A66" s="58" t="s">
        <v>56</v>
      </c>
      <c r="B66" s="44"/>
      <c r="C66" s="45"/>
      <c r="D66" s="94" t="s">
        <v>59</v>
      </c>
      <c r="E66" s="47"/>
      <c r="F66" s="98">
        <f>90*0.0628</f>
        <v>5.6519999999999992</v>
      </c>
      <c r="G66" s="49"/>
      <c r="H66" s="50"/>
      <c r="AQ66" s="36"/>
    </row>
    <row r="67" spans="1:43">
      <c r="A67" s="58" t="s">
        <v>58</v>
      </c>
      <c r="B67" s="44"/>
      <c r="C67" s="45"/>
      <c r="D67" s="94" t="s">
        <v>61</v>
      </c>
      <c r="E67" s="47"/>
      <c r="F67" s="98">
        <f>495*0.0628</f>
        <v>31.085999999999999</v>
      </c>
      <c r="G67" s="49"/>
      <c r="H67" s="50"/>
      <c r="AQ67" s="36"/>
    </row>
    <row r="68" spans="1:43">
      <c r="A68" s="58" t="s">
        <v>60</v>
      </c>
      <c r="B68" s="44"/>
      <c r="C68" s="45"/>
      <c r="D68" s="94" t="s">
        <v>63</v>
      </c>
      <c r="E68" s="47"/>
      <c r="F68" s="98">
        <f>358*0.0628</f>
        <v>22.482399999999998</v>
      </c>
      <c r="G68" s="49"/>
      <c r="H68" s="50"/>
      <c r="AQ68" s="36"/>
    </row>
    <row r="69" spans="1:43">
      <c r="A69" s="58" t="s">
        <v>62</v>
      </c>
      <c r="B69" s="44"/>
      <c r="C69" s="45"/>
      <c r="D69" s="94" t="s">
        <v>65</v>
      </c>
      <c r="E69" s="47"/>
      <c r="F69" s="98">
        <f>320*0.0628</f>
        <v>20.095999999999997</v>
      </c>
      <c r="G69" s="49"/>
      <c r="H69" s="50"/>
      <c r="AQ69" s="36"/>
    </row>
    <row r="70" spans="1:43">
      <c r="A70" s="58" t="s">
        <v>64</v>
      </c>
      <c r="B70" s="44"/>
      <c r="C70" s="45"/>
      <c r="D70" s="94" t="s">
        <v>67</v>
      </c>
      <c r="E70" s="47"/>
      <c r="F70" s="98">
        <f>298*0.0628</f>
        <v>18.714399999999998</v>
      </c>
      <c r="G70" s="49"/>
      <c r="H70" s="50"/>
      <c r="AQ70" s="36"/>
    </row>
    <row r="71" spans="1:43">
      <c r="A71" s="58" t="s">
        <v>66</v>
      </c>
      <c r="B71" s="44"/>
      <c r="C71" s="45"/>
      <c r="D71" s="94" t="s">
        <v>69</v>
      </c>
      <c r="E71" s="47"/>
      <c r="F71" s="98">
        <f>229*0.0628</f>
        <v>14.381199999999998</v>
      </c>
      <c r="G71" s="49"/>
      <c r="H71" s="50"/>
      <c r="AQ71" s="36"/>
    </row>
    <row r="72" spans="1:43">
      <c r="A72" s="58" t="s">
        <v>68</v>
      </c>
      <c r="B72" s="44"/>
      <c r="C72" s="45"/>
      <c r="D72" s="94"/>
      <c r="E72" s="47"/>
      <c r="F72" s="98"/>
      <c r="G72" s="49"/>
      <c r="H72" s="50"/>
      <c r="AQ72" s="36"/>
    </row>
    <row r="73" spans="1:43" ht="27.6">
      <c r="A73" s="58" t="s">
        <v>70</v>
      </c>
      <c r="B73" s="44">
        <v>735494811</v>
      </c>
      <c r="C73" s="45"/>
      <c r="D73" s="96" t="s">
        <v>1318</v>
      </c>
      <c r="E73" s="47" t="s">
        <v>41</v>
      </c>
      <c r="F73" s="48">
        <f>SUM(F74:F79)</f>
        <v>226.14279999999999</v>
      </c>
      <c r="G73" s="49">
        <v>25.7</v>
      </c>
      <c r="H73" s="50">
        <f>ROUND((F73*G73),2)</f>
        <v>5811.87</v>
      </c>
      <c r="J73" s="93"/>
      <c r="AQ73" s="36"/>
    </row>
    <row r="74" spans="1:43">
      <c r="A74" s="58" t="s">
        <v>71</v>
      </c>
      <c r="B74" s="44"/>
      <c r="C74" s="45"/>
      <c r="D74" s="94" t="s">
        <v>73</v>
      </c>
      <c r="E74" s="47"/>
      <c r="F74" s="99">
        <f>(85+80+7)*0.0628</f>
        <v>10.801599999999999</v>
      </c>
      <c r="G74" s="49"/>
      <c r="H74" s="50"/>
      <c r="AQ74" s="36"/>
    </row>
    <row r="75" spans="1:43">
      <c r="A75" s="58" t="s">
        <v>72</v>
      </c>
      <c r="B75" s="44"/>
      <c r="C75" s="45"/>
      <c r="D75" s="94" t="s">
        <v>75</v>
      </c>
      <c r="E75" s="47"/>
      <c r="F75" s="99">
        <f>(296+257+80)*0.0628</f>
        <v>39.752399999999994</v>
      </c>
      <c r="G75" s="49"/>
      <c r="H75" s="50"/>
      <c r="AQ75" s="36"/>
    </row>
    <row r="76" spans="1:43">
      <c r="A76" s="58" t="s">
        <v>74</v>
      </c>
      <c r="B76" s="44"/>
      <c r="C76" s="45"/>
      <c r="D76" s="94" t="s">
        <v>77</v>
      </c>
      <c r="E76" s="47"/>
      <c r="F76" s="99">
        <f>(293+308+85)* 0.0628</f>
        <v>43.080799999999996</v>
      </c>
      <c r="G76" s="49"/>
      <c r="H76" s="50"/>
      <c r="AQ76" s="36"/>
    </row>
    <row r="77" spans="1:43">
      <c r="A77" s="58" t="s">
        <v>76</v>
      </c>
      <c r="B77" s="44"/>
      <c r="C77" s="45"/>
      <c r="D77" s="94" t="s">
        <v>79</v>
      </c>
      <c r="E77" s="47"/>
      <c r="F77" s="100">
        <f>(263+281+68)* 0.0628</f>
        <v>38.433599999999998</v>
      </c>
      <c r="G77" s="49"/>
      <c r="H77" s="50"/>
      <c r="AQ77" s="36"/>
    </row>
    <row r="78" spans="1:43">
      <c r="A78" s="58" t="s">
        <v>78</v>
      </c>
      <c r="B78" s="44"/>
      <c r="C78" s="45"/>
      <c r="D78" s="94" t="s">
        <v>81</v>
      </c>
      <c r="E78" s="47"/>
      <c r="F78" s="100">
        <f>(288+290+70)* 0.0628</f>
        <v>40.694399999999995</v>
      </c>
      <c r="G78" s="49"/>
      <c r="H78" s="50"/>
      <c r="AQ78" s="36"/>
    </row>
    <row r="79" spans="1:43">
      <c r="A79" s="58" t="s">
        <v>80</v>
      </c>
      <c r="B79" s="44"/>
      <c r="C79" s="45"/>
      <c r="D79" s="94" t="s">
        <v>83</v>
      </c>
      <c r="E79" s="47"/>
      <c r="F79" s="100">
        <f>(375+385+90)* 0.0628</f>
        <v>53.379999999999995</v>
      </c>
      <c r="G79" s="49"/>
      <c r="H79" s="50"/>
      <c r="AQ79" s="36"/>
    </row>
    <row r="80" spans="1:43">
      <c r="A80" s="58" t="s">
        <v>82</v>
      </c>
      <c r="B80" s="44"/>
      <c r="C80" s="45"/>
      <c r="D80" s="94"/>
      <c r="E80" s="47"/>
      <c r="F80" s="101"/>
      <c r="G80" s="49"/>
      <c r="H80" s="50"/>
      <c r="AQ80" s="36"/>
    </row>
    <row r="81" spans="1:43" ht="41.4">
      <c r="A81" s="58" t="s">
        <v>84</v>
      </c>
      <c r="B81" s="44" t="s">
        <v>86</v>
      </c>
      <c r="C81" s="45"/>
      <c r="D81" s="94" t="s">
        <v>87</v>
      </c>
      <c r="E81" s="47" t="s">
        <v>88</v>
      </c>
      <c r="F81" s="49">
        <v>3</v>
      </c>
      <c r="G81" s="49">
        <v>598</v>
      </c>
      <c r="H81" s="50">
        <f>ROUND((F81*G81),2)</f>
        <v>1794</v>
      </c>
      <c r="J81" s="93"/>
      <c r="AQ81" s="36"/>
    </row>
    <row r="82" spans="1:43" ht="55.2">
      <c r="A82" s="58" t="s">
        <v>85</v>
      </c>
      <c r="B82" s="44" t="s">
        <v>90</v>
      </c>
      <c r="C82" s="45"/>
      <c r="D82" s="94" t="s">
        <v>1320</v>
      </c>
      <c r="E82" s="102" t="s">
        <v>91</v>
      </c>
      <c r="F82" s="97">
        <f>410*4</f>
        <v>1640</v>
      </c>
      <c r="G82" s="49">
        <v>8.8889999999999993</v>
      </c>
      <c r="H82" s="50">
        <f>ROUND((F82*G82),2)</f>
        <v>14577.96</v>
      </c>
      <c r="J82" s="103"/>
      <c r="AQ82" s="36"/>
    </row>
    <row r="83" spans="1:43">
      <c r="A83" s="58" t="s">
        <v>89</v>
      </c>
      <c r="B83" s="44"/>
      <c r="C83" s="45"/>
      <c r="D83" s="94"/>
      <c r="E83" s="102"/>
      <c r="F83" s="100"/>
      <c r="G83" s="101"/>
      <c r="H83" s="104"/>
      <c r="J83" s="103"/>
      <c r="AQ83" s="36"/>
    </row>
    <row r="84" spans="1:43" ht="27.6">
      <c r="A84" s="58" t="s">
        <v>92</v>
      </c>
      <c r="B84" s="44">
        <v>735117110</v>
      </c>
      <c r="C84" s="45"/>
      <c r="D84" s="96" t="s">
        <v>1311</v>
      </c>
      <c r="E84" s="105" t="s">
        <v>41</v>
      </c>
      <c r="F84" s="97">
        <v>1928.58</v>
      </c>
      <c r="G84" s="49">
        <v>71.099999999999994</v>
      </c>
      <c r="H84" s="50">
        <f>ROUND((F84*G84),2)</f>
        <v>137122.04</v>
      </c>
      <c r="J84" s="106"/>
      <c r="AQ84" s="36"/>
    </row>
    <row r="85" spans="1:43">
      <c r="A85" s="58" t="s">
        <v>93</v>
      </c>
      <c r="B85" s="44"/>
      <c r="C85" s="45"/>
      <c r="D85" s="96"/>
      <c r="E85" s="105"/>
      <c r="F85" s="107"/>
      <c r="G85" s="108"/>
      <c r="H85" s="89"/>
      <c r="J85" s="106"/>
      <c r="AQ85" s="36"/>
    </row>
    <row r="86" spans="1:43" ht="27.6">
      <c r="A86" s="58" t="s">
        <v>102</v>
      </c>
      <c r="B86" s="44"/>
      <c r="C86" s="45"/>
      <c r="D86" s="109" t="s">
        <v>1156</v>
      </c>
      <c r="E86" s="110" t="s">
        <v>948</v>
      </c>
      <c r="F86" s="88" t="s">
        <v>38</v>
      </c>
      <c r="G86" s="49"/>
      <c r="H86" s="89">
        <f>SUM(H88:H98)</f>
        <v>863771.6</v>
      </c>
      <c r="AQ86" s="36"/>
    </row>
    <row r="87" spans="1:43">
      <c r="A87" s="58" t="s">
        <v>103</v>
      </c>
      <c r="B87" s="44"/>
      <c r="C87" s="45"/>
      <c r="D87" s="111"/>
      <c r="E87" s="87"/>
      <c r="F87" s="112"/>
      <c r="G87" s="112"/>
      <c r="H87" s="89"/>
      <c r="AQ87" s="36"/>
    </row>
    <row r="88" spans="1:43" ht="82.8">
      <c r="A88" s="58" t="s">
        <v>104</v>
      </c>
      <c r="B88" s="44" t="s">
        <v>945</v>
      </c>
      <c r="C88" s="45"/>
      <c r="D88" s="109" t="s">
        <v>1366</v>
      </c>
      <c r="E88" s="113" t="s">
        <v>91</v>
      </c>
      <c r="F88" s="112">
        <v>410</v>
      </c>
      <c r="G88" s="112">
        <v>957</v>
      </c>
      <c r="H88" s="114">
        <f>ROUND((F88*G88),2)</f>
        <v>392370</v>
      </c>
      <c r="AQ88" s="36"/>
    </row>
    <row r="89" spans="1:43" ht="24">
      <c r="A89" s="58" t="s">
        <v>105</v>
      </c>
      <c r="B89" s="44">
        <v>735110911</v>
      </c>
      <c r="C89" s="45"/>
      <c r="D89" s="115" t="s">
        <v>1367</v>
      </c>
      <c r="E89" s="116" t="s">
        <v>91</v>
      </c>
      <c r="F89" s="112">
        <f>410*2</f>
        <v>820</v>
      </c>
      <c r="G89" s="112">
        <v>143</v>
      </c>
      <c r="H89" s="114">
        <f>ROUND((F89*G89),2)</f>
        <v>117260</v>
      </c>
      <c r="AQ89" s="36"/>
    </row>
    <row r="90" spans="1:43" ht="27.6">
      <c r="A90" s="58" t="s">
        <v>106</v>
      </c>
      <c r="B90" s="44"/>
      <c r="C90" s="45"/>
      <c r="D90" s="94" t="s">
        <v>1368</v>
      </c>
      <c r="E90" s="87" t="s">
        <v>91</v>
      </c>
      <c r="F90" s="112">
        <v>410</v>
      </c>
      <c r="G90" s="112">
        <v>150</v>
      </c>
      <c r="H90" s="114">
        <f>ROUND((F90*G90),2)</f>
        <v>61500</v>
      </c>
      <c r="AQ90" s="36"/>
    </row>
    <row r="91" spans="1:43">
      <c r="A91" s="58" t="s">
        <v>107</v>
      </c>
      <c r="B91" s="44"/>
      <c r="C91" s="45"/>
      <c r="D91" s="94"/>
      <c r="E91" s="87"/>
      <c r="F91" s="112"/>
      <c r="G91" s="112"/>
      <c r="H91" s="117"/>
      <c r="AQ91" s="36"/>
    </row>
    <row r="92" spans="1:43" ht="24">
      <c r="A92" s="58" t="s">
        <v>108</v>
      </c>
      <c r="B92" s="44"/>
      <c r="C92" s="45"/>
      <c r="D92" s="118" t="s">
        <v>947</v>
      </c>
      <c r="E92" s="47"/>
      <c r="F92" s="48"/>
      <c r="G92" s="49"/>
      <c r="H92" s="50"/>
      <c r="AQ92" s="36"/>
    </row>
    <row r="93" spans="1:43">
      <c r="A93" s="58" t="s">
        <v>109</v>
      </c>
      <c r="B93" s="44"/>
      <c r="C93" s="45"/>
      <c r="D93" s="90" t="s">
        <v>1144</v>
      </c>
      <c r="E93" s="47"/>
      <c r="F93" s="48"/>
      <c r="G93" s="49"/>
      <c r="H93" s="89"/>
      <c r="AQ93" s="36"/>
    </row>
    <row r="94" spans="1:43" ht="24">
      <c r="A94" s="58" t="s">
        <v>110</v>
      </c>
      <c r="B94" s="44" t="s">
        <v>94</v>
      </c>
      <c r="D94" s="115" t="s">
        <v>95</v>
      </c>
      <c r="E94" s="47" t="s">
        <v>41</v>
      </c>
      <c r="F94" s="48">
        <f>410*5</f>
        <v>2050</v>
      </c>
      <c r="G94" s="49">
        <v>5.93</v>
      </c>
      <c r="H94" s="50">
        <f>ROUND((F94*G94),2)</f>
        <v>12156.5</v>
      </c>
      <c r="AQ94" s="36"/>
    </row>
    <row r="95" spans="1:43">
      <c r="A95" s="58" t="s">
        <v>111</v>
      </c>
      <c r="B95" s="44">
        <v>784111031</v>
      </c>
      <c r="C95" s="45"/>
      <c r="D95" s="90" t="s">
        <v>96</v>
      </c>
      <c r="E95" s="47" t="s">
        <v>41</v>
      </c>
      <c r="F95" s="48">
        <f>410*5</f>
        <v>2050</v>
      </c>
      <c r="G95" s="49">
        <v>41.6</v>
      </c>
      <c r="H95" s="50">
        <f t="shared" ref="H95:H98" si="0">ROUND((F95*G95),2)</f>
        <v>85280</v>
      </c>
      <c r="AQ95" s="36"/>
    </row>
    <row r="96" spans="1:43" ht="24">
      <c r="A96" s="58" t="s">
        <v>112</v>
      </c>
      <c r="B96" s="44" t="s">
        <v>97</v>
      </c>
      <c r="C96" s="45"/>
      <c r="D96" s="90" t="s">
        <v>98</v>
      </c>
      <c r="E96" s="47" t="s">
        <v>41</v>
      </c>
      <c r="F96" s="48">
        <f>410*5</f>
        <v>2050</v>
      </c>
      <c r="G96" s="49">
        <v>44.5</v>
      </c>
      <c r="H96" s="50">
        <f t="shared" si="0"/>
        <v>91225</v>
      </c>
      <c r="AQ96" s="36"/>
    </row>
    <row r="97" spans="1:43" ht="24">
      <c r="A97" s="58" t="s">
        <v>113</v>
      </c>
      <c r="B97" s="44" t="s">
        <v>99</v>
      </c>
      <c r="C97" s="45"/>
      <c r="D97" s="90" t="s">
        <v>100</v>
      </c>
      <c r="E97" s="47" t="s">
        <v>41</v>
      </c>
      <c r="F97" s="48">
        <f>410*5</f>
        <v>2050</v>
      </c>
      <c r="G97" s="49">
        <v>4.45</v>
      </c>
      <c r="H97" s="50">
        <f t="shared" si="0"/>
        <v>9122.5</v>
      </c>
      <c r="AQ97" s="36"/>
    </row>
    <row r="98" spans="1:43" ht="24">
      <c r="A98" s="58" t="s">
        <v>114</v>
      </c>
      <c r="B98" s="44" t="s">
        <v>1145</v>
      </c>
      <c r="C98" s="45"/>
      <c r="D98" s="90" t="s">
        <v>101</v>
      </c>
      <c r="E98" s="47" t="s">
        <v>41</v>
      </c>
      <c r="F98" s="48">
        <v>1928</v>
      </c>
      <c r="G98" s="49">
        <v>49.2</v>
      </c>
      <c r="H98" s="50">
        <f t="shared" si="0"/>
        <v>94857.600000000006</v>
      </c>
      <c r="AQ98" s="36"/>
    </row>
    <row r="99" spans="1:43">
      <c r="A99" s="58" t="s">
        <v>115</v>
      </c>
      <c r="B99" s="44"/>
      <c r="C99" s="45"/>
      <c r="D99" s="111"/>
      <c r="E99" s="87"/>
      <c r="F99" s="112"/>
      <c r="G99" s="97"/>
      <c r="H99" s="50"/>
      <c r="AQ99" s="36"/>
    </row>
    <row r="100" spans="1:43">
      <c r="A100" s="58" t="s">
        <v>116</v>
      </c>
      <c r="B100" s="44"/>
      <c r="C100" s="45"/>
      <c r="D100" s="111"/>
      <c r="E100" s="87"/>
      <c r="F100" s="112"/>
      <c r="G100" s="97"/>
      <c r="H100" s="50"/>
      <c r="AQ100" s="36"/>
    </row>
    <row r="101" spans="1:43" s="122" customFormat="1" ht="13.8">
      <c r="A101" s="58" t="s">
        <v>118</v>
      </c>
      <c r="B101" s="44"/>
      <c r="C101" s="45"/>
      <c r="D101" s="92"/>
      <c r="E101" s="119"/>
      <c r="F101" s="48"/>
      <c r="G101" s="120"/>
      <c r="H101" s="121"/>
      <c r="J101" s="34"/>
      <c r="AQ101" s="123"/>
    </row>
    <row r="102" spans="1:43">
      <c r="A102" s="58" t="s">
        <v>119</v>
      </c>
      <c r="B102" s="44"/>
      <c r="C102" s="45"/>
      <c r="D102" s="124" t="s">
        <v>7</v>
      </c>
      <c r="E102" s="87" t="s">
        <v>6</v>
      </c>
      <c r="F102" s="88"/>
      <c r="G102" s="97" t="s">
        <v>38</v>
      </c>
      <c r="H102" s="125">
        <f>SUM(H105:H597)</f>
        <v>1455458.3</v>
      </c>
      <c r="AQ102" s="36"/>
    </row>
    <row r="103" spans="1:43">
      <c r="A103" s="58" t="s">
        <v>120</v>
      </c>
      <c r="B103" s="44"/>
      <c r="C103" s="45"/>
      <c r="D103" s="126" t="s">
        <v>147</v>
      </c>
      <c r="E103" s="87"/>
      <c r="F103" s="88"/>
      <c r="G103" s="97"/>
      <c r="H103" s="89"/>
      <c r="AQ103" s="36"/>
    </row>
    <row r="104" spans="1:43" s="122" customFormat="1" ht="13.8">
      <c r="A104" s="58" t="s">
        <v>121</v>
      </c>
      <c r="B104" s="44"/>
      <c r="C104" s="45"/>
      <c r="D104" s="92"/>
      <c r="E104" s="119"/>
      <c r="F104" s="48"/>
      <c r="G104" s="120"/>
      <c r="H104" s="121"/>
      <c r="J104" s="34"/>
      <c r="AQ104" s="123"/>
    </row>
    <row r="105" spans="1:43" s="122" customFormat="1" ht="27.6">
      <c r="A105" s="58" t="s">
        <v>122</v>
      </c>
      <c r="B105" s="44">
        <v>783601421</v>
      </c>
      <c r="C105" s="45"/>
      <c r="D105" s="92" t="s">
        <v>150</v>
      </c>
      <c r="E105" s="47" t="s">
        <v>41</v>
      </c>
      <c r="F105" s="127">
        <f>F140</f>
        <v>1930.2349999999999</v>
      </c>
      <c r="G105" s="120">
        <v>6.92</v>
      </c>
      <c r="H105" s="50">
        <f t="shared" ref="H105:J120" si="1">ROUND((F105*G105),2)</f>
        <v>13357.23</v>
      </c>
      <c r="J105" s="128"/>
      <c r="AQ105" s="123"/>
    </row>
    <row r="106" spans="1:43" s="122" customFormat="1" ht="13.8">
      <c r="A106" s="58" t="s">
        <v>123</v>
      </c>
      <c r="B106" s="44"/>
      <c r="C106" s="45"/>
      <c r="D106" s="92"/>
      <c r="E106" s="119"/>
      <c r="F106" s="48"/>
      <c r="G106" s="120"/>
      <c r="H106" s="50"/>
      <c r="J106" s="34"/>
      <c r="AQ106" s="123"/>
    </row>
    <row r="107" spans="1:43" ht="41.4">
      <c r="A107" s="58" t="s">
        <v>124</v>
      </c>
      <c r="B107" s="44">
        <v>783601345</v>
      </c>
      <c r="C107" s="45"/>
      <c r="D107" s="129" t="s">
        <v>155</v>
      </c>
      <c r="E107" s="47" t="s">
        <v>41</v>
      </c>
      <c r="F107" s="48">
        <f>F105</f>
        <v>1930.2349999999999</v>
      </c>
      <c r="G107" s="49">
        <v>119</v>
      </c>
      <c r="H107" s="50">
        <f t="shared" si="1"/>
        <v>229697.97</v>
      </c>
      <c r="J107" s="130"/>
      <c r="AQ107" s="36"/>
    </row>
    <row r="108" spans="1:43">
      <c r="A108" s="58" t="s">
        <v>125</v>
      </c>
      <c r="B108" s="44"/>
      <c r="C108" s="45"/>
      <c r="D108" s="131"/>
      <c r="E108" s="47"/>
      <c r="F108" s="48"/>
      <c r="G108" s="49"/>
      <c r="H108" s="50"/>
      <c r="J108" s="130"/>
      <c r="AQ108" s="36"/>
    </row>
    <row r="109" spans="1:43" ht="27.6">
      <c r="A109" s="58" t="s">
        <v>126</v>
      </c>
      <c r="B109" s="44">
        <v>783622111</v>
      </c>
      <c r="C109" s="45"/>
      <c r="D109" s="132" t="s">
        <v>158</v>
      </c>
      <c r="E109" s="47" t="s">
        <v>41</v>
      </c>
      <c r="F109" s="48">
        <f>F107*0.3</f>
        <v>579.07049999999992</v>
      </c>
      <c r="G109" s="49">
        <v>118</v>
      </c>
      <c r="H109" s="50">
        <f t="shared" si="1"/>
        <v>68330.320000000007</v>
      </c>
      <c r="J109" s="130">
        <f>(258651.49-423.28)/1930.24</f>
        <v>133.78036409980106</v>
      </c>
      <c r="AQ109" s="36"/>
    </row>
    <row r="110" spans="1:43">
      <c r="A110" s="58" t="s">
        <v>127</v>
      </c>
      <c r="B110" s="44"/>
      <c r="C110" s="45"/>
      <c r="D110" s="129" t="s">
        <v>160</v>
      </c>
      <c r="E110" s="47"/>
      <c r="F110" s="48"/>
      <c r="G110" s="49"/>
      <c r="H110" s="50"/>
      <c r="J110" s="50">
        <f t="shared" si="1"/>
        <v>0</v>
      </c>
      <c r="AQ110" s="36"/>
    </row>
    <row r="111" spans="1:43">
      <c r="A111" s="58" t="s">
        <v>128</v>
      </c>
      <c r="B111" s="44"/>
      <c r="C111" s="45"/>
      <c r="D111" s="131"/>
      <c r="E111" s="47"/>
      <c r="F111" s="48"/>
      <c r="G111" s="49"/>
      <c r="H111" s="50"/>
      <c r="J111" s="130"/>
      <c r="AQ111" s="36"/>
    </row>
    <row r="112" spans="1:43" ht="27.6">
      <c r="A112" s="58" t="s">
        <v>129</v>
      </c>
      <c r="B112" s="44">
        <v>783624141</v>
      </c>
      <c r="C112" s="45"/>
      <c r="D112" s="129" t="s">
        <v>1147</v>
      </c>
      <c r="E112" s="47" t="s">
        <v>41</v>
      </c>
      <c r="F112" s="48">
        <f>F107</f>
        <v>1930.2349999999999</v>
      </c>
      <c r="G112" s="49">
        <v>133.78</v>
      </c>
      <c r="H112" s="50">
        <f t="shared" si="1"/>
        <v>258226.84</v>
      </c>
      <c r="J112" s="50">
        <f>ROUND((F112*133.78),2)</f>
        <v>258226.84</v>
      </c>
      <c r="AQ112" s="36"/>
    </row>
    <row r="113" spans="1:43">
      <c r="A113" s="58" t="s">
        <v>130</v>
      </c>
      <c r="B113" s="44"/>
      <c r="C113" s="45"/>
      <c r="D113" s="131"/>
      <c r="E113" s="47"/>
      <c r="F113" s="48"/>
      <c r="G113" s="49"/>
      <c r="H113" s="50"/>
      <c r="J113" s="130"/>
      <c r="AQ113" s="36"/>
    </row>
    <row r="114" spans="1:43" ht="24">
      <c r="A114" s="58" t="s">
        <v>131</v>
      </c>
      <c r="B114" s="44">
        <v>783627117</v>
      </c>
      <c r="C114" s="35"/>
      <c r="D114" s="115" t="s">
        <v>1146</v>
      </c>
      <c r="E114" s="47" t="s">
        <v>41</v>
      </c>
      <c r="F114" s="48">
        <f>F107</f>
        <v>1930.2349999999999</v>
      </c>
      <c r="G114" s="49">
        <v>223</v>
      </c>
      <c r="H114" s="50">
        <f t="shared" si="1"/>
        <v>430442.41</v>
      </c>
      <c r="J114" s="50">
        <f t="shared" si="1"/>
        <v>0</v>
      </c>
      <c r="AQ114" s="36"/>
    </row>
    <row r="115" spans="1:43">
      <c r="A115" s="58" t="s">
        <v>132</v>
      </c>
      <c r="B115" s="44"/>
      <c r="C115" s="45"/>
      <c r="D115" s="131"/>
      <c r="E115" s="47"/>
      <c r="F115" s="48"/>
      <c r="G115" s="49"/>
      <c r="H115" s="50"/>
      <c r="AQ115" s="36"/>
    </row>
    <row r="116" spans="1:43" ht="41.4">
      <c r="A116" s="58" t="s">
        <v>133</v>
      </c>
      <c r="B116" s="44">
        <v>783601715</v>
      </c>
      <c r="C116" s="45"/>
      <c r="D116" s="129" t="s">
        <v>167</v>
      </c>
      <c r="E116" s="47" t="s">
        <v>168</v>
      </c>
      <c r="F116" s="48">
        <f>F123+F131</f>
        <v>5905</v>
      </c>
      <c r="G116" s="49">
        <v>6.45</v>
      </c>
      <c r="H116" s="50">
        <f t="shared" si="1"/>
        <v>38087.25</v>
      </c>
      <c r="J116" s="133"/>
      <c r="AQ116" s="36"/>
    </row>
    <row r="117" spans="1:43">
      <c r="A117" s="58" t="s">
        <v>134</v>
      </c>
      <c r="B117" s="44"/>
      <c r="C117" s="45"/>
      <c r="D117" s="134"/>
      <c r="E117" s="47"/>
      <c r="F117" s="48"/>
      <c r="G117" s="49"/>
      <c r="H117" s="50"/>
      <c r="J117" s="130"/>
      <c r="AQ117" s="36"/>
    </row>
    <row r="118" spans="1:43" ht="27.6">
      <c r="A118" s="58" t="s">
        <v>135</v>
      </c>
      <c r="B118" s="44">
        <v>783624551</v>
      </c>
      <c r="C118" s="45"/>
      <c r="D118" s="129" t="s">
        <v>1148</v>
      </c>
      <c r="E118" s="47" t="s">
        <v>168</v>
      </c>
      <c r="F118" s="48">
        <f>F116</f>
        <v>5905</v>
      </c>
      <c r="G118" s="49">
        <v>23</v>
      </c>
      <c r="H118" s="50">
        <f t="shared" si="1"/>
        <v>135815</v>
      </c>
      <c r="J118" s="130"/>
      <c r="AQ118" s="36"/>
    </row>
    <row r="119" spans="1:43">
      <c r="A119" s="58" t="s">
        <v>136</v>
      </c>
      <c r="B119" s="44"/>
      <c r="C119" s="45"/>
      <c r="D119" s="134"/>
      <c r="E119" s="47"/>
      <c r="F119" s="48"/>
      <c r="G119" s="49"/>
      <c r="H119" s="50"/>
      <c r="J119" s="130"/>
      <c r="AQ119" s="36"/>
    </row>
    <row r="120" spans="1:43" ht="27.6">
      <c r="A120" s="58" t="s">
        <v>137</v>
      </c>
      <c r="B120" s="44">
        <v>783627612</v>
      </c>
      <c r="C120" s="45"/>
      <c r="D120" s="129" t="s">
        <v>1149</v>
      </c>
      <c r="E120" s="47" t="s">
        <v>168</v>
      </c>
      <c r="F120" s="48">
        <f>F116</f>
        <v>5905</v>
      </c>
      <c r="G120" s="49">
        <v>47.6</v>
      </c>
      <c r="H120" s="50">
        <f t="shared" si="1"/>
        <v>281078</v>
      </c>
      <c r="J120" s="130"/>
      <c r="AQ120" s="36"/>
    </row>
    <row r="121" spans="1:43">
      <c r="A121" s="58" t="s">
        <v>138</v>
      </c>
      <c r="B121" s="44"/>
      <c r="C121" s="45"/>
      <c r="D121" s="129"/>
      <c r="E121" s="47"/>
      <c r="F121" s="48"/>
      <c r="G121" s="49"/>
      <c r="H121" s="50"/>
      <c r="J121" s="130"/>
      <c r="AQ121" s="36"/>
    </row>
    <row r="122" spans="1:43">
      <c r="A122" s="58" t="s">
        <v>139</v>
      </c>
      <c r="B122" s="44"/>
      <c r="C122" s="45"/>
      <c r="D122" s="129"/>
      <c r="E122" s="47"/>
      <c r="F122" s="48"/>
      <c r="G122" s="49"/>
      <c r="H122" s="50"/>
      <c r="J122" s="130"/>
      <c r="AQ122" s="36"/>
    </row>
    <row r="123" spans="1:43">
      <c r="A123" s="58" t="s">
        <v>140</v>
      </c>
      <c r="B123" s="44"/>
      <c r="C123" s="45"/>
      <c r="D123" s="135" t="s">
        <v>176</v>
      </c>
      <c r="E123" s="87" t="s">
        <v>177</v>
      </c>
      <c r="F123" s="88">
        <f>90+495+358+320+298+229</f>
        <v>1790</v>
      </c>
      <c r="G123" s="97"/>
      <c r="H123" s="50"/>
      <c r="J123" s="136"/>
      <c r="AQ123" s="36"/>
    </row>
    <row r="124" spans="1:43">
      <c r="A124" s="58" t="s">
        <v>141</v>
      </c>
      <c r="B124" s="44"/>
      <c r="C124" s="45"/>
      <c r="D124" s="94" t="s">
        <v>179</v>
      </c>
      <c r="E124" s="47"/>
      <c r="F124" s="48">
        <v>90</v>
      </c>
      <c r="G124" s="97"/>
      <c r="H124" s="50"/>
      <c r="AQ124" s="36"/>
    </row>
    <row r="125" spans="1:43">
      <c r="A125" s="58" t="s">
        <v>142</v>
      </c>
      <c r="B125" s="44"/>
      <c r="C125" s="45"/>
      <c r="D125" s="94" t="s">
        <v>181</v>
      </c>
      <c r="E125" s="47"/>
      <c r="F125" s="48">
        <v>495</v>
      </c>
      <c r="G125" s="97"/>
      <c r="H125" s="50"/>
      <c r="AQ125" s="36"/>
    </row>
    <row r="126" spans="1:43">
      <c r="A126" s="58" t="s">
        <v>143</v>
      </c>
      <c r="B126" s="44"/>
      <c r="C126" s="45"/>
      <c r="D126" s="94" t="s">
        <v>183</v>
      </c>
      <c r="E126" s="47"/>
      <c r="F126" s="48">
        <v>358</v>
      </c>
      <c r="G126" s="97"/>
      <c r="H126" s="50"/>
      <c r="AQ126" s="36"/>
    </row>
    <row r="127" spans="1:43">
      <c r="A127" s="58" t="s">
        <v>144</v>
      </c>
      <c r="B127" s="44"/>
      <c r="C127" s="45"/>
      <c r="D127" s="94" t="s">
        <v>185</v>
      </c>
      <c r="E127" s="47"/>
      <c r="F127" s="48">
        <v>320</v>
      </c>
      <c r="G127" s="97"/>
      <c r="H127" s="50"/>
      <c r="AQ127" s="36"/>
    </row>
    <row r="128" spans="1:43">
      <c r="A128" s="58" t="s">
        <v>145</v>
      </c>
      <c r="B128" s="44"/>
      <c r="C128" s="45"/>
      <c r="D128" s="94" t="s">
        <v>187</v>
      </c>
      <c r="E128" s="47"/>
      <c r="F128" s="48">
        <v>298</v>
      </c>
      <c r="G128" s="97"/>
      <c r="H128" s="50"/>
      <c r="AQ128" s="36"/>
    </row>
    <row r="129" spans="1:43">
      <c r="A129" s="58" t="s">
        <v>146</v>
      </c>
      <c r="B129" s="44"/>
      <c r="C129" s="45"/>
      <c r="D129" s="94" t="s">
        <v>189</v>
      </c>
      <c r="E129" s="47"/>
      <c r="F129" s="48">
        <v>229</v>
      </c>
      <c r="G129" s="97"/>
      <c r="H129" s="50"/>
      <c r="AQ129" s="36"/>
    </row>
    <row r="130" spans="1:43">
      <c r="A130" s="58" t="s">
        <v>148</v>
      </c>
      <c r="B130" s="44"/>
      <c r="C130" s="45"/>
      <c r="D130" s="129"/>
      <c r="E130" s="47"/>
      <c r="F130" s="88"/>
      <c r="G130" s="97"/>
      <c r="H130" s="50"/>
      <c r="AQ130" s="36"/>
    </row>
    <row r="131" spans="1:43" ht="41.4">
      <c r="A131" s="58" t="s">
        <v>149</v>
      </c>
      <c r="B131" s="44"/>
      <c r="C131" s="45"/>
      <c r="D131" s="96" t="s">
        <v>192</v>
      </c>
      <c r="E131" s="87" t="s">
        <v>177</v>
      </c>
      <c r="F131" s="88">
        <f>SUM(F132:F137)</f>
        <v>4115</v>
      </c>
      <c r="G131" s="97"/>
      <c r="H131" s="50"/>
      <c r="J131" s="136"/>
      <c r="AQ131" s="36"/>
    </row>
    <row r="132" spans="1:43">
      <c r="A132" s="58" t="s">
        <v>151</v>
      </c>
      <c r="B132" s="44"/>
      <c r="C132" s="45"/>
      <c r="D132" s="94" t="s">
        <v>194</v>
      </c>
      <c r="E132" s="47"/>
      <c r="F132" s="48">
        <f>(90+85+7)</f>
        <v>182</v>
      </c>
      <c r="G132" s="97"/>
      <c r="H132" s="50"/>
      <c r="AQ132" s="36"/>
    </row>
    <row r="133" spans="1:43">
      <c r="A133" s="58" t="s">
        <v>152</v>
      </c>
      <c r="B133" s="44"/>
      <c r="C133" s="45"/>
      <c r="D133" s="94" t="s">
        <v>196</v>
      </c>
      <c r="E133" s="47"/>
      <c r="F133" s="48">
        <f xml:space="preserve"> (352+313+80)</f>
        <v>745</v>
      </c>
      <c r="G133" s="97"/>
      <c r="H133" s="50"/>
      <c r="AQ133" s="36"/>
    </row>
    <row r="134" spans="1:43">
      <c r="A134" s="58" t="s">
        <v>153</v>
      </c>
      <c r="B134" s="44"/>
      <c r="C134" s="45"/>
      <c r="D134" s="94" t="s">
        <v>198</v>
      </c>
      <c r="E134" s="47"/>
      <c r="F134" s="48">
        <f>(349+364+85)</f>
        <v>798</v>
      </c>
      <c r="G134" s="97"/>
      <c r="H134" s="50"/>
      <c r="AQ134" s="36"/>
    </row>
    <row r="135" spans="1:43">
      <c r="A135" s="58" t="s">
        <v>154</v>
      </c>
      <c r="B135" s="44"/>
      <c r="C135" s="45"/>
      <c r="D135" s="94" t="s">
        <v>200</v>
      </c>
      <c r="E135" s="47"/>
      <c r="F135" s="48">
        <f>(319+281+68)</f>
        <v>668</v>
      </c>
      <c r="G135" s="97"/>
      <c r="H135" s="50"/>
      <c r="AQ135" s="36"/>
    </row>
    <row r="136" spans="1:43">
      <c r="A136" s="58" t="s">
        <v>156</v>
      </c>
      <c r="B136" s="44"/>
      <c r="C136" s="45"/>
      <c r="D136" s="94" t="s">
        <v>202</v>
      </c>
      <c r="E136" s="47"/>
      <c r="F136" s="48">
        <f>(344+346+70)</f>
        <v>760</v>
      </c>
      <c r="G136" s="97"/>
      <c r="H136" s="50"/>
      <c r="AQ136" s="36"/>
    </row>
    <row r="137" spans="1:43">
      <c r="A137" s="58" t="s">
        <v>157</v>
      </c>
      <c r="B137" s="44"/>
      <c r="C137" s="45"/>
      <c r="D137" s="94" t="s">
        <v>204</v>
      </c>
      <c r="E137" s="47"/>
      <c r="F137" s="48">
        <f>(431+441+90)</f>
        <v>962</v>
      </c>
      <c r="G137" s="97"/>
      <c r="H137" s="50"/>
      <c r="AQ137" s="36"/>
    </row>
    <row r="138" spans="1:43">
      <c r="A138" s="58" t="s">
        <v>159</v>
      </c>
      <c r="B138" s="44"/>
      <c r="C138" s="45"/>
      <c r="D138" s="137"/>
      <c r="E138" s="87"/>
      <c r="F138" s="88"/>
      <c r="G138" s="97"/>
      <c r="H138" s="50"/>
      <c r="AQ138" s="36"/>
    </row>
    <row r="139" spans="1:43" s="122" customFormat="1" ht="13.8">
      <c r="A139" s="58" t="s">
        <v>161</v>
      </c>
      <c r="B139" s="44"/>
      <c r="C139" s="45"/>
      <c r="D139" s="88"/>
      <c r="E139" s="87"/>
      <c r="F139" s="138"/>
      <c r="G139" s="49" t="s">
        <v>1150</v>
      </c>
      <c r="H139" s="121"/>
      <c r="J139" s="34"/>
      <c r="AQ139" s="123"/>
    </row>
    <row r="140" spans="1:43" s="122" customFormat="1" ht="13.8">
      <c r="A140" s="58" t="s">
        <v>162</v>
      </c>
      <c r="B140" s="44"/>
      <c r="C140" s="45"/>
      <c r="D140" s="97" t="s">
        <v>1109</v>
      </c>
      <c r="E140" s="87" t="s">
        <v>41</v>
      </c>
      <c r="F140" s="107">
        <f>F143+F256+F356+F389+F419+F465+F529+F566</f>
        <v>1930.2349999999999</v>
      </c>
      <c r="G140" s="107">
        <f>SUM(G143:G595)</f>
        <v>410</v>
      </c>
      <c r="H140" s="121"/>
      <c r="J140" s="139"/>
      <c r="AQ140" s="123"/>
    </row>
    <row r="141" spans="1:43" s="122" customFormat="1" ht="13.8">
      <c r="A141" s="58" t="s">
        <v>163</v>
      </c>
      <c r="B141" s="44"/>
      <c r="C141" s="45"/>
      <c r="D141" s="97"/>
      <c r="E141" s="87"/>
      <c r="F141" s="107"/>
      <c r="G141" s="107"/>
      <c r="H141" s="121"/>
      <c r="J141" s="34"/>
      <c r="AQ141" s="123"/>
    </row>
    <row r="142" spans="1:43" s="122" customFormat="1" ht="13.8">
      <c r="A142" s="58" t="s">
        <v>164</v>
      </c>
      <c r="B142" s="44"/>
      <c r="C142" s="45"/>
      <c r="D142" s="140" t="s">
        <v>1369</v>
      </c>
      <c r="E142" s="87"/>
      <c r="F142" s="97"/>
      <c r="G142" s="97"/>
      <c r="H142" s="121"/>
      <c r="J142" s="34"/>
      <c r="AQ142" s="123"/>
    </row>
    <row r="143" spans="1:43" s="122" customFormat="1" ht="13.8">
      <c r="A143" s="58" t="s">
        <v>165</v>
      </c>
      <c r="B143" s="44"/>
      <c r="C143" s="141" t="s">
        <v>962</v>
      </c>
      <c r="D143" s="107" t="s">
        <v>1370</v>
      </c>
      <c r="E143" s="47" t="s">
        <v>41</v>
      </c>
      <c r="F143" s="49">
        <f>SUM(F144:F253)</f>
        <v>596.61499999999978</v>
      </c>
      <c r="G143" s="97"/>
      <c r="H143" s="121"/>
      <c r="J143" s="142"/>
      <c r="AQ143" s="123"/>
    </row>
    <row r="144" spans="1:43" s="122" customFormat="1" ht="13.8">
      <c r="A144" s="58" t="s">
        <v>166</v>
      </c>
      <c r="B144" s="44"/>
      <c r="C144" s="141" t="s">
        <v>962</v>
      </c>
      <c r="D144" s="143" t="s">
        <v>1371</v>
      </c>
      <c r="E144" s="47"/>
      <c r="F144" s="138"/>
      <c r="G144" s="97"/>
      <c r="H144" s="144"/>
      <c r="J144" s="34"/>
      <c r="AQ144" s="123"/>
    </row>
    <row r="145" spans="1:43" s="122" customFormat="1" ht="13.8">
      <c r="A145" s="58" t="s">
        <v>169</v>
      </c>
      <c r="B145" s="44"/>
      <c r="C145" s="145" t="s">
        <v>269</v>
      </c>
      <c r="D145" s="129" t="s">
        <v>270</v>
      </c>
      <c r="E145" s="87"/>
      <c r="F145" s="88">
        <f>0.255*22*2</f>
        <v>11.22</v>
      </c>
      <c r="G145" s="97">
        <v>2</v>
      </c>
      <c r="H145" s="144"/>
      <c r="J145" s="34"/>
      <c r="AQ145" s="123"/>
    </row>
    <row r="146" spans="1:43" s="122" customFormat="1" ht="13.8">
      <c r="A146" s="58" t="s">
        <v>170</v>
      </c>
      <c r="B146" s="44"/>
      <c r="C146" s="145" t="s">
        <v>267</v>
      </c>
      <c r="D146" s="129" t="s">
        <v>963</v>
      </c>
      <c r="E146" s="87"/>
      <c r="F146" s="88">
        <f>0.255*22*1</f>
        <v>5.61</v>
      </c>
      <c r="G146" s="97">
        <v>1</v>
      </c>
      <c r="H146" s="144"/>
      <c r="J146" s="34"/>
      <c r="AQ146" s="123"/>
    </row>
    <row r="147" spans="1:43" s="122" customFormat="1" ht="13.8">
      <c r="A147" s="58" t="s">
        <v>171</v>
      </c>
      <c r="B147" s="44"/>
      <c r="C147" s="145" t="s">
        <v>220</v>
      </c>
      <c r="D147" s="129" t="s">
        <v>964</v>
      </c>
      <c r="E147" s="87"/>
      <c r="F147" s="88">
        <f>0.255*20*2</f>
        <v>10.199999999999999</v>
      </c>
      <c r="G147" s="97">
        <v>2</v>
      </c>
      <c r="H147" s="144"/>
      <c r="J147" s="34"/>
      <c r="AQ147" s="123"/>
    </row>
    <row r="148" spans="1:43" s="122" customFormat="1" ht="13.8">
      <c r="A148" s="58" t="s">
        <v>172</v>
      </c>
      <c r="B148" s="44"/>
      <c r="C148" s="145" t="s">
        <v>220</v>
      </c>
      <c r="D148" s="129" t="s">
        <v>259</v>
      </c>
      <c r="E148" s="87"/>
      <c r="F148" s="88">
        <f>0.255*15*1</f>
        <v>3.8250000000000002</v>
      </c>
      <c r="G148" s="97">
        <v>1</v>
      </c>
      <c r="H148" s="144"/>
      <c r="J148" s="34"/>
      <c r="AQ148" s="123"/>
    </row>
    <row r="149" spans="1:43" s="122" customFormat="1" ht="13.8">
      <c r="A149" s="58" t="s">
        <v>173</v>
      </c>
      <c r="B149" s="44"/>
      <c r="C149" s="145" t="s">
        <v>261</v>
      </c>
      <c r="D149" s="129" t="s">
        <v>262</v>
      </c>
      <c r="E149" s="87"/>
      <c r="F149" s="88">
        <f>0.255*16*1</f>
        <v>4.08</v>
      </c>
      <c r="G149" s="97">
        <v>1</v>
      </c>
      <c r="H149" s="144"/>
      <c r="J149" s="34"/>
      <c r="AQ149" s="123"/>
    </row>
    <row r="150" spans="1:43" s="122" customFormat="1" ht="13.8">
      <c r="A150" s="58" t="s">
        <v>174</v>
      </c>
      <c r="B150" s="44"/>
      <c r="C150" s="145" t="s">
        <v>216</v>
      </c>
      <c r="D150" s="129" t="s">
        <v>259</v>
      </c>
      <c r="E150" s="87"/>
      <c r="F150" s="88">
        <f>0.255*15*1</f>
        <v>3.8250000000000002</v>
      </c>
      <c r="G150" s="97">
        <v>1</v>
      </c>
      <c r="H150" s="144"/>
      <c r="J150" s="34"/>
      <c r="AQ150" s="123"/>
    </row>
    <row r="151" spans="1:43" s="122" customFormat="1" ht="13.8">
      <c r="A151" s="58" t="s">
        <v>175</v>
      </c>
      <c r="B151" s="44"/>
      <c r="C151" s="145" t="s">
        <v>257</v>
      </c>
      <c r="D151" s="129" t="s">
        <v>963</v>
      </c>
      <c r="E151" s="87"/>
      <c r="F151" s="88">
        <f>0.255*22*1</f>
        <v>5.61</v>
      </c>
      <c r="G151" s="97">
        <v>1</v>
      </c>
      <c r="H151" s="144"/>
      <c r="J151" s="34"/>
      <c r="AQ151" s="123"/>
    </row>
    <row r="152" spans="1:43" s="122" customFormat="1" ht="13.8">
      <c r="A152" s="58" t="s">
        <v>178</v>
      </c>
      <c r="B152" s="44"/>
      <c r="C152" s="145" t="s">
        <v>254</v>
      </c>
      <c r="D152" s="129" t="s">
        <v>966</v>
      </c>
      <c r="E152" s="87"/>
      <c r="F152" s="88">
        <f>0.255*24*2</f>
        <v>12.24</v>
      </c>
      <c r="G152" s="97">
        <v>2</v>
      </c>
      <c r="H152" s="144"/>
      <c r="J152" s="34"/>
      <c r="AQ152" s="123"/>
    </row>
    <row r="153" spans="1:43" s="122" customFormat="1" ht="13.8">
      <c r="A153" s="58" t="s">
        <v>180</v>
      </c>
      <c r="B153" s="44"/>
      <c r="C153" s="145"/>
      <c r="D153" s="129"/>
      <c r="E153" s="87"/>
      <c r="F153" s="88"/>
      <c r="G153" s="146"/>
      <c r="H153" s="144"/>
      <c r="J153" s="34"/>
      <c r="AQ153" s="123"/>
    </row>
    <row r="154" spans="1:43" s="122" customFormat="1" ht="13.8">
      <c r="A154" s="58" t="s">
        <v>182</v>
      </c>
      <c r="B154" s="44"/>
      <c r="C154" s="141" t="s">
        <v>962</v>
      </c>
      <c r="D154" s="143" t="s">
        <v>1372</v>
      </c>
      <c r="E154" s="87"/>
      <c r="F154" s="88"/>
      <c r="G154" s="97"/>
      <c r="H154" s="144"/>
      <c r="J154" s="34"/>
      <c r="AQ154" s="123"/>
    </row>
    <row r="155" spans="1:43" s="122" customFormat="1" ht="13.8">
      <c r="A155" s="58" t="s">
        <v>184</v>
      </c>
      <c r="B155" s="44"/>
      <c r="C155" s="145" t="s">
        <v>970</v>
      </c>
      <c r="D155" s="129" t="s">
        <v>966</v>
      </c>
      <c r="E155" s="87"/>
      <c r="F155" s="88">
        <f t="shared" ref="F155" si="2">0.255*24*2</f>
        <v>12.24</v>
      </c>
      <c r="G155" s="97">
        <v>2</v>
      </c>
      <c r="H155" s="144"/>
      <c r="J155" s="34"/>
      <c r="AQ155" s="123"/>
    </row>
    <row r="156" spans="1:43" s="122" customFormat="1" ht="13.8">
      <c r="A156" s="58" t="s">
        <v>186</v>
      </c>
      <c r="B156" s="44"/>
      <c r="C156" s="145" t="s">
        <v>971</v>
      </c>
      <c r="D156" s="129" t="s">
        <v>973</v>
      </c>
      <c r="E156" s="87"/>
      <c r="F156" s="88">
        <f>0.255*18*1</f>
        <v>4.59</v>
      </c>
      <c r="G156" s="97">
        <v>1</v>
      </c>
      <c r="H156" s="144"/>
      <c r="J156" s="34"/>
      <c r="AQ156" s="123"/>
    </row>
    <row r="157" spans="1:43" s="122" customFormat="1" ht="13.8">
      <c r="A157" s="58" t="s">
        <v>188</v>
      </c>
      <c r="B157" s="44"/>
      <c r="C157" s="145" t="s">
        <v>972</v>
      </c>
      <c r="D157" s="129" t="s">
        <v>977</v>
      </c>
      <c r="E157" s="87"/>
      <c r="F157" s="88">
        <f>0.255*14*6</f>
        <v>21.42</v>
      </c>
      <c r="G157" s="97">
        <v>6</v>
      </c>
      <c r="H157" s="144"/>
      <c r="J157" s="34"/>
      <c r="AQ157" s="123"/>
    </row>
    <row r="158" spans="1:43" s="122" customFormat="1" ht="13.8">
      <c r="A158" s="58" t="s">
        <v>190</v>
      </c>
      <c r="B158" s="44"/>
      <c r="C158" s="145" t="s">
        <v>239</v>
      </c>
      <c r="D158" s="129" t="s">
        <v>974</v>
      </c>
      <c r="E158" s="87"/>
      <c r="F158" s="88">
        <f>0.255*17*1</f>
        <v>4.335</v>
      </c>
      <c r="G158" s="97">
        <v>1</v>
      </c>
      <c r="H158" s="144"/>
      <c r="J158" s="34"/>
      <c r="AQ158" s="123"/>
    </row>
    <row r="159" spans="1:43" s="122" customFormat="1" ht="13.8">
      <c r="A159" s="58" t="s">
        <v>191</v>
      </c>
      <c r="B159" s="44"/>
      <c r="C159" s="145" t="s">
        <v>975</v>
      </c>
      <c r="D159" s="129" t="s">
        <v>974</v>
      </c>
      <c r="E159" s="87"/>
      <c r="F159" s="88">
        <f>0.255*17*1</f>
        <v>4.335</v>
      </c>
      <c r="G159" s="97">
        <v>1</v>
      </c>
      <c r="H159" s="144"/>
      <c r="J159" s="34"/>
      <c r="AQ159" s="123"/>
    </row>
    <row r="160" spans="1:43" s="122" customFormat="1" ht="13.8">
      <c r="A160" s="58" t="s">
        <v>193</v>
      </c>
      <c r="B160" s="44"/>
      <c r="C160" s="145" t="s">
        <v>976</v>
      </c>
      <c r="D160" s="129" t="s">
        <v>973</v>
      </c>
      <c r="E160" s="87"/>
      <c r="F160" s="88">
        <f>0.255*18*1</f>
        <v>4.59</v>
      </c>
      <c r="G160" s="97">
        <v>1</v>
      </c>
      <c r="H160" s="144"/>
      <c r="J160" s="34"/>
      <c r="AQ160" s="123"/>
    </row>
    <row r="161" spans="1:43" s="122" customFormat="1" ht="13.8">
      <c r="A161" s="58" t="s">
        <v>195</v>
      </c>
      <c r="B161" s="44"/>
      <c r="C161" s="145"/>
      <c r="D161" s="129"/>
      <c r="E161" s="87"/>
      <c r="F161" s="88"/>
      <c r="G161" s="97"/>
      <c r="H161" s="144"/>
      <c r="J161" s="34"/>
      <c r="AQ161" s="123"/>
    </row>
    <row r="162" spans="1:43" s="122" customFormat="1" ht="13.8">
      <c r="A162" s="58" t="s">
        <v>197</v>
      </c>
      <c r="B162" s="44"/>
      <c r="C162" s="141" t="s">
        <v>962</v>
      </c>
      <c r="D162" s="143" t="s">
        <v>1373</v>
      </c>
      <c r="E162" s="87"/>
      <c r="F162" s="88"/>
      <c r="G162" s="97"/>
      <c r="H162" s="144"/>
      <c r="J162" s="34"/>
      <c r="AQ162" s="123"/>
    </row>
    <row r="163" spans="1:43" s="122" customFormat="1" ht="13.8">
      <c r="A163" s="58" t="s">
        <v>199</v>
      </c>
      <c r="B163" s="44"/>
      <c r="C163" s="145" t="s">
        <v>178</v>
      </c>
      <c r="D163" s="129" t="s">
        <v>986</v>
      </c>
      <c r="E163" s="87"/>
      <c r="F163" s="88">
        <f>0.255*24*3</f>
        <v>18.36</v>
      </c>
      <c r="G163" s="97">
        <v>3</v>
      </c>
      <c r="H163" s="144"/>
      <c r="J163" s="34"/>
      <c r="AQ163" s="123"/>
    </row>
    <row r="164" spans="1:43" s="122" customFormat="1" ht="13.8">
      <c r="A164" s="58" t="s">
        <v>201</v>
      </c>
      <c r="B164" s="44"/>
      <c r="C164" s="145" t="s">
        <v>175</v>
      </c>
      <c r="D164" s="129" t="s">
        <v>988</v>
      </c>
      <c r="E164" s="87"/>
      <c r="F164" s="88">
        <f>0.255*18*2</f>
        <v>9.18</v>
      </c>
      <c r="G164" s="97">
        <v>2</v>
      </c>
      <c r="H164" s="144"/>
      <c r="J164" s="34"/>
      <c r="AQ164" s="123"/>
    </row>
    <row r="165" spans="1:43" s="122" customFormat="1" ht="13.8">
      <c r="A165" s="58" t="s">
        <v>203</v>
      </c>
      <c r="B165" s="44"/>
      <c r="C165" s="145" t="s">
        <v>174</v>
      </c>
      <c r="D165" s="129" t="s">
        <v>250</v>
      </c>
      <c r="E165" s="87"/>
      <c r="F165" s="88">
        <f>0.255*14*1</f>
        <v>3.5700000000000003</v>
      </c>
      <c r="G165" s="97">
        <v>1</v>
      </c>
      <c r="H165" s="144"/>
      <c r="J165" s="34"/>
      <c r="AQ165" s="123"/>
    </row>
    <row r="166" spans="1:43" s="122" customFormat="1" ht="13.8">
      <c r="A166" s="58" t="s">
        <v>205</v>
      </c>
      <c r="B166" s="44"/>
      <c r="C166" s="145" t="s">
        <v>445</v>
      </c>
      <c r="D166" s="129" t="s">
        <v>989</v>
      </c>
      <c r="E166" s="87"/>
      <c r="F166" s="88">
        <f>0.255*20*1</f>
        <v>5.0999999999999996</v>
      </c>
      <c r="G166" s="97">
        <v>1</v>
      </c>
      <c r="H166" s="144"/>
      <c r="J166" s="34"/>
      <c r="AQ166" s="123"/>
    </row>
    <row r="167" spans="1:43" s="122" customFormat="1" ht="13.8">
      <c r="A167" s="58" t="s">
        <v>206</v>
      </c>
      <c r="B167" s="44"/>
      <c r="C167" s="145" t="s">
        <v>172</v>
      </c>
      <c r="D167" s="129" t="s">
        <v>250</v>
      </c>
      <c r="E167" s="87"/>
      <c r="F167" s="88">
        <f>0.255*14*1</f>
        <v>3.5700000000000003</v>
      </c>
      <c r="G167" s="97">
        <v>1</v>
      </c>
      <c r="H167" s="144"/>
      <c r="J167" s="34"/>
      <c r="AQ167" s="123"/>
    </row>
    <row r="168" spans="1:43" s="122" customFormat="1" ht="13.8">
      <c r="A168" s="58" t="s">
        <v>207</v>
      </c>
      <c r="B168" s="44"/>
      <c r="C168" s="145" t="s">
        <v>171</v>
      </c>
      <c r="D168" s="129" t="s">
        <v>989</v>
      </c>
      <c r="E168" s="87"/>
      <c r="F168" s="88">
        <f>0.255*20*1</f>
        <v>5.0999999999999996</v>
      </c>
      <c r="G168" s="97">
        <v>1</v>
      </c>
      <c r="H168" s="144"/>
      <c r="J168" s="34"/>
      <c r="AQ168" s="123"/>
    </row>
    <row r="169" spans="1:43" s="122" customFormat="1" ht="13.8">
      <c r="A169" s="58" t="s">
        <v>208</v>
      </c>
      <c r="B169" s="44"/>
      <c r="C169" s="145" t="s">
        <v>170</v>
      </c>
      <c r="D169" s="129" t="s">
        <v>990</v>
      </c>
      <c r="E169" s="87"/>
      <c r="F169" s="88">
        <f>0.255*17*1</f>
        <v>4.335</v>
      </c>
      <c r="G169" s="97">
        <v>1</v>
      </c>
      <c r="H169" s="144"/>
      <c r="J169" s="34"/>
      <c r="AQ169" s="123"/>
    </row>
    <row r="170" spans="1:43" s="122" customFormat="1" ht="13.8">
      <c r="A170" s="58" t="s">
        <v>209</v>
      </c>
      <c r="B170" s="44"/>
      <c r="C170" s="145" t="s">
        <v>169</v>
      </c>
      <c r="D170" s="129" t="s">
        <v>987</v>
      </c>
      <c r="E170" s="87"/>
      <c r="F170" s="88">
        <f>0.255*18*1</f>
        <v>4.59</v>
      </c>
      <c r="G170" s="97">
        <v>1</v>
      </c>
      <c r="H170" s="144"/>
      <c r="J170" s="34"/>
      <c r="AQ170" s="123"/>
    </row>
    <row r="171" spans="1:43" s="122" customFormat="1" ht="13.8">
      <c r="A171" s="58" t="s">
        <v>210</v>
      </c>
      <c r="B171" s="44"/>
      <c r="C171" s="145" t="s">
        <v>166</v>
      </c>
      <c r="D171" s="129" t="s">
        <v>987</v>
      </c>
      <c r="E171" s="87"/>
      <c r="F171" s="88">
        <f>0.255*18*1</f>
        <v>4.59</v>
      </c>
      <c r="G171" s="97">
        <v>1</v>
      </c>
      <c r="H171" s="144"/>
      <c r="J171" s="34"/>
      <c r="AQ171" s="123"/>
    </row>
    <row r="172" spans="1:43" s="122" customFormat="1" ht="13.8">
      <c r="A172" s="58" t="s">
        <v>211</v>
      </c>
      <c r="B172" s="44"/>
      <c r="C172" s="145"/>
      <c r="D172" s="129"/>
      <c r="E172" s="87"/>
      <c r="F172" s="88"/>
      <c r="G172" s="97"/>
      <c r="H172" s="144"/>
      <c r="J172" s="34"/>
      <c r="AQ172" s="123"/>
    </row>
    <row r="173" spans="1:43" s="122" customFormat="1" ht="13.8">
      <c r="A173" s="58" t="s">
        <v>212</v>
      </c>
      <c r="B173" s="44"/>
      <c r="C173" s="141" t="s">
        <v>962</v>
      </c>
      <c r="D173" s="143" t="s">
        <v>1374</v>
      </c>
      <c r="E173" s="87"/>
      <c r="F173" s="88"/>
      <c r="G173" s="97"/>
      <c r="H173" s="144"/>
      <c r="J173" s="34"/>
      <c r="AQ173" s="123"/>
    </row>
    <row r="174" spans="1:43" s="122" customFormat="1" ht="13.8">
      <c r="A174" s="58" t="s">
        <v>214</v>
      </c>
      <c r="B174" s="44"/>
      <c r="C174" s="145" t="s">
        <v>345</v>
      </c>
      <c r="D174" s="129" t="s">
        <v>998</v>
      </c>
      <c r="E174" s="87"/>
      <c r="F174" s="88">
        <f>0.255*22*3</f>
        <v>16.830000000000002</v>
      </c>
      <c r="G174" s="97">
        <v>3</v>
      </c>
      <c r="H174" s="144"/>
      <c r="J174" s="34"/>
      <c r="AQ174" s="123"/>
    </row>
    <row r="175" spans="1:43" s="122" customFormat="1" ht="13.8">
      <c r="A175" s="58" t="s">
        <v>215</v>
      </c>
      <c r="B175" s="44"/>
      <c r="C175" s="145" t="s">
        <v>344</v>
      </c>
      <c r="D175" s="129" t="s">
        <v>990</v>
      </c>
      <c r="E175" s="87"/>
      <c r="F175" s="88">
        <f>0.255*17*1</f>
        <v>4.335</v>
      </c>
      <c r="G175" s="97">
        <v>1</v>
      </c>
      <c r="H175" s="144"/>
      <c r="J175" s="34"/>
      <c r="AQ175" s="123"/>
    </row>
    <row r="176" spans="1:43" s="122" customFormat="1" ht="13.8">
      <c r="A176" s="58" t="s">
        <v>217</v>
      </c>
      <c r="B176" s="44"/>
      <c r="C176" s="145" t="s">
        <v>343</v>
      </c>
      <c r="D176" s="129" t="s">
        <v>990</v>
      </c>
      <c r="E176" s="87"/>
      <c r="F176" s="88">
        <f>0.255*17*1</f>
        <v>4.335</v>
      </c>
      <c r="G176" s="97">
        <v>1</v>
      </c>
      <c r="H176" s="144"/>
      <c r="J176" s="34"/>
      <c r="AQ176" s="123"/>
    </row>
    <row r="177" spans="1:43" s="122" customFormat="1" ht="13.8">
      <c r="A177" s="58" t="s">
        <v>219</v>
      </c>
      <c r="B177" s="44"/>
      <c r="C177" s="145" t="s">
        <v>532</v>
      </c>
      <c r="D177" s="129" t="s">
        <v>990</v>
      </c>
      <c r="E177" s="87"/>
      <c r="F177" s="88">
        <f t="shared" ref="F177:F179" si="3">0.255*17*1</f>
        <v>4.335</v>
      </c>
      <c r="G177" s="97">
        <v>1</v>
      </c>
      <c r="H177" s="144"/>
      <c r="J177" s="34"/>
      <c r="AQ177" s="123"/>
    </row>
    <row r="178" spans="1:43" s="122" customFormat="1" ht="13.8">
      <c r="A178" s="58" t="s">
        <v>221</v>
      </c>
      <c r="B178" s="44"/>
      <c r="C178" s="145" t="s">
        <v>530</v>
      </c>
      <c r="D178" s="129" t="s">
        <v>999</v>
      </c>
      <c r="E178" s="87"/>
      <c r="F178" s="88">
        <f>0.255*16*1</f>
        <v>4.08</v>
      </c>
      <c r="G178" s="97">
        <v>1</v>
      </c>
      <c r="H178" s="144"/>
      <c r="J178" s="34"/>
      <c r="AQ178" s="123"/>
    </row>
    <row r="179" spans="1:43" s="122" customFormat="1" ht="13.8">
      <c r="A179" s="58" t="s">
        <v>223</v>
      </c>
      <c r="B179" s="44"/>
      <c r="C179" s="145" t="s">
        <v>528</v>
      </c>
      <c r="D179" s="129" t="s">
        <v>990</v>
      </c>
      <c r="E179" s="87"/>
      <c r="F179" s="88">
        <f t="shared" si="3"/>
        <v>4.335</v>
      </c>
      <c r="G179" s="97">
        <v>1</v>
      </c>
      <c r="H179" s="144"/>
      <c r="J179" s="34"/>
      <c r="AQ179" s="123"/>
    </row>
    <row r="180" spans="1:43" s="122" customFormat="1" ht="13.8">
      <c r="A180" s="58" t="s">
        <v>225</v>
      </c>
      <c r="B180" s="44"/>
      <c r="C180" s="145" t="s">
        <v>339</v>
      </c>
      <c r="D180" s="129" t="s">
        <v>1000</v>
      </c>
      <c r="E180" s="87"/>
      <c r="F180" s="88">
        <f>0.255*16*2</f>
        <v>8.16</v>
      </c>
      <c r="G180" s="97">
        <v>2</v>
      </c>
      <c r="H180" s="144"/>
      <c r="J180" s="34"/>
      <c r="AQ180" s="123"/>
    </row>
    <row r="181" spans="1:43" s="122" customFormat="1" ht="13.8">
      <c r="A181" s="58" t="s">
        <v>227</v>
      </c>
      <c r="B181" s="44"/>
      <c r="C181" s="145" t="s">
        <v>338</v>
      </c>
      <c r="D181" s="129" t="s">
        <v>1321</v>
      </c>
      <c r="E181" s="87"/>
      <c r="F181" s="88">
        <f>0.255*16*3</f>
        <v>12.24</v>
      </c>
      <c r="G181" s="97">
        <v>3</v>
      </c>
      <c r="H181" s="144"/>
      <c r="J181" s="34"/>
      <c r="AQ181" s="123"/>
    </row>
    <row r="182" spans="1:43" s="122" customFormat="1" ht="13.8">
      <c r="A182" s="58" t="s">
        <v>229</v>
      </c>
      <c r="B182" s="44"/>
      <c r="C182" s="145"/>
      <c r="D182" s="143"/>
      <c r="E182" s="87"/>
      <c r="F182" s="88"/>
      <c r="G182" s="97"/>
      <c r="H182" s="144"/>
      <c r="J182" s="34"/>
      <c r="AQ182" s="123"/>
    </row>
    <row r="183" spans="1:43" s="122" customFormat="1" ht="13.8">
      <c r="A183" s="58" t="s">
        <v>230</v>
      </c>
      <c r="B183" s="44"/>
      <c r="C183" s="141" t="s">
        <v>962</v>
      </c>
      <c r="D183" s="143" t="s">
        <v>1375</v>
      </c>
      <c r="E183" s="87"/>
      <c r="F183" s="88"/>
      <c r="G183" s="97"/>
      <c r="H183" s="144"/>
      <c r="J183" s="34"/>
      <c r="AQ183" s="123"/>
    </row>
    <row r="184" spans="1:43" s="122" customFormat="1" ht="13.8">
      <c r="A184" s="58" t="s">
        <v>231</v>
      </c>
      <c r="B184" s="44"/>
      <c r="C184" s="145" t="s">
        <v>474</v>
      </c>
      <c r="D184" s="129" t="s">
        <v>1004</v>
      </c>
      <c r="E184" s="87"/>
      <c r="F184" s="88">
        <f>0.44*13*1</f>
        <v>5.72</v>
      </c>
      <c r="G184" s="97">
        <v>1</v>
      </c>
      <c r="H184" s="144"/>
      <c r="J184" s="34"/>
      <c r="AQ184" s="123"/>
    </row>
    <row r="185" spans="1:43" s="122" customFormat="1" ht="13.8">
      <c r="A185" s="58" t="s">
        <v>232</v>
      </c>
      <c r="B185" s="44"/>
      <c r="C185" s="145" t="s">
        <v>474</v>
      </c>
      <c r="D185" s="129" t="s">
        <v>1005</v>
      </c>
      <c r="E185" s="87"/>
      <c r="F185" s="88">
        <f>0.255*30*2</f>
        <v>15.3</v>
      </c>
      <c r="G185" s="97">
        <v>2</v>
      </c>
      <c r="H185" s="144"/>
      <c r="J185" s="34"/>
      <c r="AQ185" s="123"/>
    </row>
    <row r="186" spans="1:43" s="122" customFormat="1" ht="13.8">
      <c r="A186" s="58" t="s">
        <v>233</v>
      </c>
      <c r="B186" s="44"/>
      <c r="C186" s="145" t="s">
        <v>472</v>
      </c>
      <c r="D186" s="129" t="s">
        <v>1003</v>
      </c>
      <c r="E186" s="87"/>
      <c r="F186" s="88">
        <f>0.255*29*1</f>
        <v>7.3950000000000005</v>
      </c>
      <c r="G186" s="97">
        <v>1</v>
      </c>
      <c r="H186" s="144"/>
      <c r="J186" s="34"/>
      <c r="AQ186" s="123"/>
    </row>
    <row r="187" spans="1:43" s="122" customFormat="1" ht="13.8">
      <c r="A187" s="58" t="s">
        <v>234</v>
      </c>
      <c r="B187" s="44"/>
      <c r="C187" s="145" t="s">
        <v>470</v>
      </c>
      <c r="D187" s="129" t="s">
        <v>987</v>
      </c>
      <c r="E187" s="87"/>
      <c r="F187" s="88">
        <f>0.255*18*1</f>
        <v>4.59</v>
      </c>
      <c r="G187" s="97">
        <v>1</v>
      </c>
      <c r="H187" s="144"/>
      <c r="J187" s="34"/>
      <c r="AQ187" s="123"/>
    </row>
    <row r="188" spans="1:43" s="122" customFormat="1" ht="13.8">
      <c r="A188" s="58" t="s">
        <v>236</v>
      </c>
      <c r="B188" s="44"/>
      <c r="C188" s="145" t="s">
        <v>468</v>
      </c>
      <c r="D188" s="129" t="s">
        <v>1002</v>
      </c>
      <c r="E188" s="87"/>
      <c r="F188" s="88">
        <f>0.255*20*1</f>
        <v>5.0999999999999996</v>
      </c>
      <c r="G188" s="97">
        <v>1</v>
      </c>
      <c r="H188" s="144"/>
      <c r="J188" s="34"/>
      <c r="AQ188" s="123"/>
    </row>
    <row r="189" spans="1:43" s="122" customFormat="1" ht="13.8">
      <c r="A189" s="58" t="s">
        <v>238</v>
      </c>
      <c r="B189" s="44"/>
      <c r="C189" s="145" t="s">
        <v>466</v>
      </c>
      <c r="D189" s="129" t="s">
        <v>1002</v>
      </c>
      <c r="E189" s="87"/>
      <c r="F189" s="88">
        <f>0.255*20*1</f>
        <v>5.0999999999999996</v>
      </c>
      <c r="G189" s="97">
        <v>1</v>
      </c>
      <c r="H189" s="144"/>
      <c r="J189" s="34"/>
      <c r="AQ189" s="123"/>
    </row>
    <row r="190" spans="1:43" s="122" customFormat="1" ht="13.8">
      <c r="A190" s="58" t="s">
        <v>240</v>
      </c>
      <c r="B190" s="44"/>
      <c r="C190" s="145" t="s">
        <v>464</v>
      </c>
      <c r="D190" s="129" t="s">
        <v>987</v>
      </c>
      <c r="E190" s="87"/>
      <c r="F190" s="88">
        <f>0.255*18*1</f>
        <v>4.59</v>
      </c>
      <c r="G190" s="97">
        <v>1</v>
      </c>
      <c r="H190" s="144"/>
      <c r="J190" s="34"/>
      <c r="AQ190" s="123"/>
    </row>
    <row r="191" spans="1:43" s="122" customFormat="1" ht="13.8">
      <c r="A191" s="58" t="s">
        <v>241</v>
      </c>
      <c r="B191" s="44"/>
      <c r="C191" s="145" t="s">
        <v>463</v>
      </c>
      <c r="D191" s="129" t="s">
        <v>987</v>
      </c>
      <c r="E191" s="87"/>
      <c r="F191" s="88">
        <f>0.255*18*1</f>
        <v>4.59</v>
      </c>
      <c r="G191" s="97">
        <v>1</v>
      </c>
      <c r="H191" s="144"/>
      <c r="J191" s="34"/>
      <c r="AQ191" s="123"/>
    </row>
    <row r="192" spans="1:43" s="122" customFormat="1" ht="13.8">
      <c r="A192" s="58" t="s">
        <v>244</v>
      </c>
      <c r="B192" s="44"/>
      <c r="C192" s="145" t="s">
        <v>612</v>
      </c>
      <c r="D192" s="129" t="s">
        <v>1001</v>
      </c>
      <c r="E192" s="87"/>
      <c r="F192" s="88">
        <f>0.255*24*1</f>
        <v>6.12</v>
      </c>
      <c r="G192" s="97">
        <v>1</v>
      </c>
      <c r="H192" s="144"/>
      <c r="J192" s="34"/>
      <c r="AQ192" s="123"/>
    </row>
    <row r="193" spans="1:43" s="122" customFormat="1" ht="13.8">
      <c r="A193" s="58" t="s">
        <v>246</v>
      </c>
      <c r="B193" s="44"/>
      <c r="C193" s="145" t="s">
        <v>610</v>
      </c>
      <c r="D193" s="129" t="s">
        <v>987</v>
      </c>
      <c r="E193" s="87"/>
      <c r="F193" s="88">
        <f>0.255*18*1</f>
        <v>4.59</v>
      </c>
      <c r="G193" s="97">
        <v>1</v>
      </c>
      <c r="H193" s="144"/>
      <c r="J193" s="34"/>
      <c r="AQ193" s="123"/>
    </row>
    <row r="194" spans="1:43" s="122" customFormat="1" ht="13.8">
      <c r="A194" s="58" t="s">
        <v>249</v>
      </c>
      <c r="B194" s="44"/>
      <c r="C194" s="145" t="s">
        <v>608</v>
      </c>
      <c r="D194" s="129" t="s">
        <v>997</v>
      </c>
      <c r="E194" s="87"/>
      <c r="F194" s="88">
        <f>0.255*22*1</f>
        <v>5.61</v>
      </c>
      <c r="G194" s="97">
        <v>1</v>
      </c>
      <c r="H194" s="144"/>
      <c r="J194" s="34"/>
      <c r="AQ194" s="123"/>
    </row>
    <row r="195" spans="1:43" s="122" customFormat="1" ht="13.8">
      <c r="A195" s="58" t="s">
        <v>251</v>
      </c>
      <c r="B195" s="44"/>
      <c r="C195" s="141"/>
      <c r="D195" s="143"/>
      <c r="E195" s="87"/>
      <c r="F195" s="88"/>
      <c r="G195" s="97"/>
      <c r="H195" s="144"/>
      <c r="J195" s="34"/>
      <c r="AQ195" s="123"/>
    </row>
    <row r="196" spans="1:43" s="122" customFormat="1" ht="13.8">
      <c r="A196" s="58" t="s">
        <v>253</v>
      </c>
      <c r="B196" s="44"/>
      <c r="C196" s="141"/>
      <c r="D196" s="107"/>
      <c r="E196" s="87"/>
      <c r="F196" s="88"/>
      <c r="G196" s="97"/>
      <c r="H196" s="144"/>
      <c r="J196" s="34"/>
      <c r="AQ196" s="123"/>
    </row>
    <row r="197" spans="1:43" s="122" customFormat="1" ht="13.8">
      <c r="A197" s="58" t="s">
        <v>255</v>
      </c>
      <c r="B197" s="44"/>
      <c r="C197" s="145"/>
      <c r="D197" s="140" t="s">
        <v>1376</v>
      </c>
      <c r="E197" s="87"/>
      <c r="F197" s="88"/>
      <c r="G197" s="97"/>
      <c r="H197" s="144"/>
      <c r="J197" s="34"/>
      <c r="AQ197" s="123"/>
    </row>
    <row r="198" spans="1:43" s="122" customFormat="1" ht="13.8">
      <c r="A198" s="58" t="s">
        <v>256</v>
      </c>
      <c r="B198" s="44"/>
      <c r="C198" s="145"/>
      <c r="D198" s="107" t="s">
        <v>1377</v>
      </c>
      <c r="E198" s="87"/>
      <c r="F198" s="88"/>
      <c r="G198" s="97"/>
      <c r="H198" s="144"/>
      <c r="J198" s="34"/>
      <c r="AQ198" s="123"/>
    </row>
    <row r="199" spans="1:43" s="122" customFormat="1" ht="13.8">
      <c r="A199" s="58" t="s">
        <v>258</v>
      </c>
      <c r="B199" s="44"/>
      <c r="C199" s="141" t="s">
        <v>962</v>
      </c>
      <c r="D199" s="143" t="s">
        <v>1378</v>
      </c>
      <c r="E199" s="87"/>
      <c r="F199" s="88"/>
      <c r="G199" s="97"/>
      <c r="H199" s="144"/>
      <c r="J199" s="34"/>
      <c r="AQ199" s="123"/>
    </row>
    <row r="200" spans="1:43" s="122" customFormat="1" ht="13.8">
      <c r="A200" s="58" t="s">
        <v>260</v>
      </c>
      <c r="B200" s="44"/>
      <c r="C200" s="145" t="s">
        <v>254</v>
      </c>
      <c r="D200" s="129" t="s">
        <v>967</v>
      </c>
      <c r="E200" s="87"/>
      <c r="F200" s="88">
        <f>0.255*22*4</f>
        <v>22.44</v>
      </c>
      <c r="G200" s="97">
        <v>4</v>
      </c>
      <c r="H200" s="144"/>
      <c r="J200" s="34"/>
      <c r="AQ200" s="123"/>
    </row>
    <row r="201" spans="1:43" s="122" customFormat="1" ht="13.8">
      <c r="A201" s="58" t="s">
        <v>263</v>
      </c>
      <c r="B201" s="44"/>
      <c r="C201" s="145" t="s">
        <v>254</v>
      </c>
      <c r="D201" s="129" t="s">
        <v>252</v>
      </c>
      <c r="E201" s="87"/>
      <c r="F201" s="88">
        <f>0.255*24*1</f>
        <v>6.12</v>
      </c>
      <c r="G201" s="97">
        <v>1</v>
      </c>
      <c r="H201" s="144"/>
      <c r="J201" s="34"/>
      <c r="AQ201" s="123"/>
    </row>
    <row r="202" spans="1:43" s="122" customFormat="1" ht="13.8">
      <c r="A202" s="58" t="s">
        <v>264</v>
      </c>
      <c r="B202" s="44"/>
      <c r="C202" s="145" t="s">
        <v>247</v>
      </c>
      <c r="D202" s="129" t="s">
        <v>961</v>
      </c>
      <c r="E202" s="87"/>
      <c r="F202" s="88">
        <f>0.255*12*2</f>
        <v>6.12</v>
      </c>
      <c r="G202" s="97">
        <v>2</v>
      </c>
      <c r="H202" s="144"/>
      <c r="J202" s="34"/>
      <c r="AQ202" s="123"/>
    </row>
    <row r="203" spans="1:43" s="122" customFormat="1" ht="13.8">
      <c r="A203" s="58" t="s">
        <v>266</v>
      </c>
      <c r="B203" s="44"/>
      <c r="C203" s="145" t="s">
        <v>247</v>
      </c>
      <c r="D203" s="129" t="s">
        <v>250</v>
      </c>
      <c r="E203" s="87"/>
      <c r="F203" s="88">
        <f>0.255*14*1</f>
        <v>3.5700000000000003</v>
      </c>
      <c r="G203" s="97">
        <v>1</v>
      </c>
      <c r="H203" s="144"/>
      <c r="J203" s="34"/>
      <c r="AQ203" s="123"/>
    </row>
    <row r="204" spans="1:43" s="122" customFormat="1" ht="13.8">
      <c r="A204" s="58" t="s">
        <v>268</v>
      </c>
      <c r="B204" s="44"/>
      <c r="C204" s="145" t="s">
        <v>245</v>
      </c>
      <c r="D204" s="129" t="s">
        <v>968</v>
      </c>
      <c r="E204" s="87"/>
      <c r="F204" s="88">
        <f>0.205*10*1</f>
        <v>2.0499999999999998</v>
      </c>
      <c r="G204" s="97">
        <v>1</v>
      </c>
      <c r="H204" s="144"/>
      <c r="J204" s="34"/>
      <c r="AQ204" s="123"/>
    </row>
    <row r="205" spans="1:43" s="122" customFormat="1" ht="13.8">
      <c r="A205" s="58" t="s">
        <v>271</v>
      </c>
      <c r="B205" s="44"/>
      <c r="C205" s="145" t="s">
        <v>242</v>
      </c>
      <c r="D205" s="129" t="s">
        <v>243</v>
      </c>
      <c r="E205" s="87"/>
      <c r="F205" s="88">
        <f>0.44*10*1</f>
        <v>4.4000000000000004</v>
      </c>
      <c r="G205" s="97">
        <v>1</v>
      </c>
      <c r="H205" s="144"/>
      <c r="J205" s="34"/>
      <c r="AQ205" s="123"/>
    </row>
    <row r="206" spans="1:43" s="122" customFormat="1" ht="13.8">
      <c r="A206" s="58" t="s">
        <v>274</v>
      </c>
      <c r="B206" s="44"/>
      <c r="C206" s="145" t="s">
        <v>175</v>
      </c>
      <c r="D206" s="129" t="s">
        <v>969</v>
      </c>
      <c r="E206" s="87"/>
      <c r="F206" s="88">
        <f>0.44*12*1</f>
        <v>5.28</v>
      </c>
      <c r="G206" s="97">
        <v>1</v>
      </c>
      <c r="H206" s="144"/>
      <c r="J206" s="34"/>
      <c r="AQ206" s="123"/>
    </row>
    <row r="207" spans="1:43" s="122" customFormat="1" ht="13.8">
      <c r="A207" s="58" t="s">
        <v>277</v>
      </c>
      <c r="B207" s="44"/>
      <c r="C207" s="145" t="s">
        <v>178</v>
      </c>
      <c r="D207" s="129" t="s">
        <v>969</v>
      </c>
      <c r="E207" s="87"/>
      <c r="F207" s="88">
        <f>0.44*12*1</f>
        <v>5.28</v>
      </c>
      <c r="G207" s="97">
        <v>1</v>
      </c>
      <c r="H207" s="144"/>
      <c r="J207" s="34"/>
      <c r="AQ207" s="123"/>
    </row>
    <row r="208" spans="1:43" s="122" customFormat="1" ht="13.8">
      <c r="A208" s="58" t="s">
        <v>279</v>
      </c>
      <c r="B208" s="44"/>
      <c r="C208" s="145"/>
      <c r="D208" s="88"/>
      <c r="E208" s="87"/>
      <c r="F208" s="138"/>
      <c r="G208" s="97"/>
      <c r="H208" s="144"/>
      <c r="J208" s="34"/>
      <c r="AQ208" s="123"/>
    </row>
    <row r="209" spans="1:43" s="122" customFormat="1" ht="13.8">
      <c r="A209" s="58" t="s">
        <v>281</v>
      </c>
      <c r="B209" s="44"/>
      <c r="C209" s="141" t="s">
        <v>962</v>
      </c>
      <c r="D209" s="143" t="s">
        <v>1379</v>
      </c>
      <c r="E209" s="87"/>
      <c r="F209" s="138"/>
      <c r="G209" s="97"/>
      <c r="H209" s="144"/>
      <c r="J209" s="34"/>
      <c r="AQ209" s="123"/>
    </row>
    <row r="210" spans="1:43" s="122" customFormat="1" ht="13.8">
      <c r="A210" s="58" t="s">
        <v>283</v>
      </c>
      <c r="B210" s="44"/>
      <c r="C210" s="145" t="s">
        <v>358</v>
      </c>
      <c r="D210" s="129" t="s">
        <v>250</v>
      </c>
      <c r="E210" s="87"/>
      <c r="F210" s="88">
        <f>0.255*14*1</f>
        <v>3.5700000000000003</v>
      </c>
      <c r="G210" s="97">
        <v>1</v>
      </c>
      <c r="H210" s="144"/>
      <c r="J210" s="34"/>
      <c r="AQ210" s="123"/>
    </row>
    <row r="211" spans="1:43" s="122" customFormat="1" ht="13.8">
      <c r="A211" s="58" t="s">
        <v>284</v>
      </c>
      <c r="B211" s="44"/>
      <c r="C211" s="145" t="s">
        <v>980</v>
      </c>
      <c r="D211" s="129" t="s">
        <v>978</v>
      </c>
      <c r="E211" s="87"/>
      <c r="F211" s="88">
        <f>0.255*19*1</f>
        <v>4.8449999999999998</v>
      </c>
      <c r="G211" s="97">
        <v>1</v>
      </c>
      <c r="H211" s="144"/>
      <c r="J211" s="34"/>
      <c r="AQ211" s="123"/>
    </row>
    <row r="212" spans="1:43" s="122" customFormat="1" ht="13.8">
      <c r="A212" s="58" t="s">
        <v>286</v>
      </c>
      <c r="B212" s="44"/>
      <c r="C212" s="145" t="s">
        <v>355</v>
      </c>
      <c r="D212" s="129" t="s">
        <v>250</v>
      </c>
      <c r="E212" s="87"/>
      <c r="F212" s="88">
        <f>0.255*14*1</f>
        <v>3.5700000000000003</v>
      </c>
      <c r="G212" s="97">
        <v>1</v>
      </c>
      <c r="H212" s="144"/>
      <c r="J212" s="34"/>
      <c r="AQ212" s="123"/>
    </row>
    <row r="213" spans="1:43" s="122" customFormat="1" ht="13.8">
      <c r="A213" s="58" t="s">
        <v>288</v>
      </c>
      <c r="B213" s="44"/>
      <c r="C213" s="145" t="s">
        <v>353</v>
      </c>
      <c r="D213" s="129" t="s">
        <v>978</v>
      </c>
      <c r="E213" s="87"/>
      <c r="F213" s="88">
        <f>0.255*19*1</f>
        <v>4.8449999999999998</v>
      </c>
      <c r="G213" s="97">
        <v>1</v>
      </c>
      <c r="H213" s="144"/>
      <c r="J213" s="34"/>
      <c r="AQ213" s="123"/>
    </row>
    <row r="214" spans="1:43" s="122" customFormat="1" ht="13.8">
      <c r="A214" s="58" t="s">
        <v>290</v>
      </c>
      <c r="B214" s="44"/>
      <c r="C214" s="145" t="s">
        <v>979</v>
      </c>
      <c r="D214" s="129" t="s">
        <v>978</v>
      </c>
      <c r="E214" s="87"/>
      <c r="F214" s="88">
        <f>0.255*19*1</f>
        <v>4.8449999999999998</v>
      </c>
      <c r="G214" s="97">
        <v>1</v>
      </c>
      <c r="H214" s="144"/>
      <c r="J214" s="34"/>
      <c r="AQ214" s="123"/>
    </row>
    <row r="215" spans="1:43" s="122" customFormat="1" ht="13.8">
      <c r="A215" s="58" t="s">
        <v>292</v>
      </c>
      <c r="B215" s="44"/>
      <c r="C215" s="145" t="s">
        <v>981</v>
      </c>
      <c r="D215" s="129" t="s">
        <v>978</v>
      </c>
      <c r="E215" s="87"/>
      <c r="F215" s="88">
        <f>0.255*19*1</f>
        <v>4.8449999999999998</v>
      </c>
      <c r="G215" s="97">
        <v>1</v>
      </c>
      <c r="H215" s="144"/>
      <c r="J215" s="34"/>
      <c r="AQ215" s="123"/>
    </row>
    <row r="216" spans="1:43" s="122" customFormat="1" ht="13.8">
      <c r="A216" s="58" t="s">
        <v>295</v>
      </c>
      <c r="B216" s="44"/>
      <c r="C216" s="145" t="s">
        <v>982</v>
      </c>
      <c r="D216" s="129" t="s">
        <v>978</v>
      </c>
      <c r="E216" s="87"/>
      <c r="F216" s="88">
        <f>0.255*19*1</f>
        <v>4.8449999999999998</v>
      </c>
      <c r="G216" s="97">
        <v>1</v>
      </c>
      <c r="H216" s="144"/>
      <c r="J216" s="34"/>
      <c r="AQ216" s="123"/>
    </row>
    <row r="217" spans="1:43" s="122" customFormat="1" ht="13.8">
      <c r="A217" s="58" t="s">
        <v>297</v>
      </c>
      <c r="B217" s="44"/>
      <c r="C217" s="147" t="s">
        <v>983</v>
      </c>
      <c r="D217" s="129" t="s">
        <v>973</v>
      </c>
      <c r="E217" s="87"/>
      <c r="F217" s="88">
        <f>0.255*18*1</f>
        <v>4.59</v>
      </c>
      <c r="G217" s="97">
        <v>1</v>
      </c>
      <c r="H217" s="144"/>
      <c r="J217" s="34"/>
      <c r="AQ217" s="123"/>
    </row>
    <row r="218" spans="1:43" s="122" customFormat="1" ht="13.8">
      <c r="A218" s="58" t="s">
        <v>299</v>
      </c>
      <c r="B218" s="44"/>
      <c r="C218" s="145" t="s">
        <v>348</v>
      </c>
      <c r="D218" s="129" t="s">
        <v>973</v>
      </c>
      <c r="E218" s="87"/>
      <c r="F218" s="88">
        <f>0.255*18*1</f>
        <v>4.59</v>
      </c>
      <c r="G218" s="97">
        <v>1</v>
      </c>
      <c r="H218" s="144"/>
      <c r="J218" s="34"/>
      <c r="AQ218" s="123"/>
    </row>
    <row r="219" spans="1:43" s="122" customFormat="1" ht="13.8">
      <c r="A219" s="58" t="s">
        <v>300</v>
      </c>
      <c r="B219" s="44"/>
      <c r="C219" s="145" t="s">
        <v>984</v>
      </c>
      <c r="D219" s="129" t="s">
        <v>985</v>
      </c>
      <c r="E219" s="87"/>
      <c r="F219" s="88">
        <f>0.185*20*3</f>
        <v>11.100000000000001</v>
      </c>
      <c r="G219" s="97">
        <v>3</v>
      </c>
      <c r="H219" s="144"/>
      <c r="J219" s="34"/>
      <c r="AQ219" s="123"/>
    </row>
    <row r="220" spans="1:43" s="122" customFormat="1" ht="13.8">
      <c r="A220" s="58" t="s">
        <v>302</v>
      </c>
      <c r="B220" s="44"/>
      <c r="C220" s="145"/>
      <c r="D220" s="129"/>
      <c r="E220" s="87"/>
      <c r="F220" s="88"/>
      <c r="G220" s="97"/>
      <c r="H220" s="144"/>
      <c r="J220" s="34"/>
      <c r="AQ220" s="123"/>
    </row>
    <row r="221" spans="1:43" s="122" customFormat="1" ht="13.8">
      <c r="A221" s="58" t="s">
        <v>303</v>
      </c>
      <c r="B221" s="44"/>
      <c r="C221" s="141" t="s">
        <v>962</v>
      </c>
      <c r="D221" s="143" t="s">
        <v>1380</v>
      </c>
      <c r="E221" s="87"/>
      <c r="F221" s="88"/>
      <c r="G221" s="97"/>
      <c r="H221" s="144"/>
      <c r="J221" s="34"/>
      <c r="AQ221" s="123"/>
    </row>
    <row r="222" spans="1:43" s="122" customFormat="1" ht="13.8">
      <c r="A222" s="58" t="s">
        <v>305</v>
      </c>
      <c r="B222" s="44"/>
      <c r="C222" s="145" t="s">
        <v>165</v>
      </c>
      <c r="D222" s="129" t="s">
        <v>262</v>
      </c>
      <c r="E222" s="87"/>
      <c r="F222" s="88">
        <f>0.255*16*1</f>
        <v>4.08</v>
      </c>
      <c r="G222" s="97">
        <v>1</v>
      </c>
      <c r="H222" s="144"/>
      <c r="J222" s="34"/>
      <c r="AQ222" s="123"/>
    </row>
    <row r="223" spans="1:43" s="122" customFormat="1" ht="13.8">
      <c r="A223" s="58" t="s">
        <v>306</v>
      </c>
      <c r="B223" s="44"/>
      <c r="C223" s="145" t="s">
        <v>164</v>
      </c>
      <c r="D223" s="129" t="s">
        <v>262</v>
      </c>
      <c r="E223" s="87"/>
      <c r="F223" s="88">
        <f>0.255*16*1</f>
        <v>4.08</v>
      </c>
      <c r="G223" s="97">
        <v>1</v>
      </c>
      <c r="H223" s="144"/>
      <c r="J223" s="34"/>
      <c r="AQ223" s="123"/>
    </row>
    <row r="224" spans="1:43" s="122" customFormat="1" ht="13.8">
      <c r="A224" s="58" t="s">
        <v>308</v>
      </c>
      <c r="B224" s="44"/>
      <c r="C224" s="145" t="s">
        <v>436</v>
      </c>
      <c r="D224" s="129" t="s">
        <v>262</v>
      </c>
      <c r="E224" s="87"/>
      <c r="F224" s="88">
        <f>0.255*16*1</f>
        <v>4.08</v>
      </c>
      <c r="G224" s="97">
        <v>1</v>
      </c>
      <c r="H224" s="144"/>
      <c r="J224" s="34"/>
      <c r="AQ224" s="123"/>
    </row>
    <row r="225" spans="1:43" s="122" customFormat="1" ht="13.8">
      <c r="A225" s="58" t="s">
        <v>310</v>
      </c>
      <c r="B225" s="44"/>
      <c r="C225" s="145" t="s">
        <v>434</v>
      </c>
      <c r="D225" s="129" t="s">
        <v>974</v>
      </c>
      <c r="E225" s="87"/>
      <c r="F225" s="88">
        <f>0.255*17*1</f>
        <v>4.335</v>
      </c>
      <c r="G225" s="97">
        <v>1</v>
      </c>
      <c r="H225" s="144"/>
      <c r="J225" s="34"/>
      <c r="AQ225" s="123"/>
    </row>
    <row r="226" spans="1:43" s="122" customFormat="1" ht="13.8">
      <c r="A226" s="58" t="s">
        <v>312</v>
      </c>
      <c r="B226" s="44"/>
      <c r="C226" s="145" t="s">
        <v>161</v>
      </c>
      <c r="D226" s="129" t="s">
        <v>973</v>
      </c>
      <c r="E226" s="87"/>
      <c r="F226" s="88">
        <f>0.255*18*1</f>
        <v>4.59</v>
      </c>
      <c r="G226" s="97">
        <v>1</v>
      </c>
      <c r="H226" s="144"/>
      <c r="J226" s="34"/>
      <c r="AQ226" s="123"/>
    </row>
    <row r="227" spans="1:43" s="122" customFormat="1" ht="13.8">
      <c r="A227" s="58" t="s">
        <v>314</v>
      </c>
      <c r="B227" s="44"/>
      <c r="C227" s="145" t="s">
        <v>159</v>
      </c>
      <c r="D227" s="129" t="s">
        <v>993</v>
      </c>
      <c r="E227" s="87"/>
      <c r="F227" s="88">
        <f>0.255*16*3</f>
        <v>12.24</v>
      </c>
      <c r="G227" s="97">
        <v>3</v>
      </c>
      <c r="H227" s="144"/>
      <c r="J227" s="34"/>
      <c r="AQ227" s="123"/>
    </row>
    <row r="228" spans="1:43" s="122" customFormat="1" ht="13.8">
      <c r="A228" s="58" t="s">
        <v>315</v>
      </c>
      <c r="B228" s="44"/>
      <c r="C228" s="145" t="s">
        <v>157</v>
      </c>
      <c r="D228" s="129" t="s">
        <v>992</v>
      </c>
      <c r="E228" s="87"/>
      <c r="F228" s="88">
        <f>0.255*28*1</f>
        <v>7.1400000000000006</v>
      </c>
      <c r="G228" s="97">
        <v>1</v>
      </c>
      <c r="H228" s="144"/>
      <c r="J228" s="34"/>
      <c r="AQ228" s="123"/>
    </row>
    <row r="229" spans="1:43" s="122" customFormat="1" ht="13.8">
      <c r="A229" s="58" t="s">
        <v>317</v>
      </c>
      <c r="B229" s="44"/>
      <c r="C229" s="145" t="s">
        <v>156</v>
      </c>
      <c r="D229" s="129" t="s">
        <v>991</v>
      </c>
      <c r="E229" s="87"/>
      <c r="F229" s="88">
        <f>0.255*22*3</f>
        <v>16.830000000000002</v>
      </c>
      <c r="G229" s="97">
        <v>3</v>
      </c>
      <c r="H229" s="144"/>
      <c r="J229" s="34"/>
      <c r="AQ229" s="123"/>
    </row>
    <row r="230" spans="1:43" s="122" customFormat="1" ht="13.8">
      <c r="A230" s="58" t="s">
        <v>319</v>
      </c>
      <c r="B230" s="44"/>
      <c r="C230" s="145"/>
      <c r="D230" s="129"/>
      <c r="E230" s="87"/>
      <c r="F230" s="88"/>
      <c r="G230" s="97"/>
      <c r="H230" s="144"/>
      <c r="J230" s="34"/>
      <c r="AQ230" s="123"/>
    </row>
    <row r="231" spans="1:43" s="122" customFormat="1" ht="13.8">
      <c r="A231" s="58" t="s">
        <v>320</v>
      </c>
      <c r="B231" s="44"/>
      <c r="C231" s="141" t="s">
        <v>962</v>
      </c>
      <c r="D231" s="143" t="s">
        <v>1381</v>
      </c>
      <c r="E231" s="87"/>
      <c r="F231" s="88"/>
      <c r="G231" s="97"/>
      <c r="H231" s="144"/>
      <c r="J231" s="34"/>
      <c r="AQ231" s="123"/>
    </row>
    <row r="232" spans="1:43" s="122" customFormat="1" ht="13.8">
      <c r="A232" s="58" t="s">
        <v>321</v>
      </c>
      <c r="B232" s="44"/>
      <c r="C232" s="145" t="s">
        <v>337</v>
      </c>
      <c r="D232" s="129" t="s">
        <v>259</v>
      </c>
      <c r="E232" s="87"/>
      <c r="F232" s="88">
        <f>0.255*15*1</f>
        <v>3.8250000000000002</v>
      </c>
      <c r="G232" s="97">
        <v>1</v>
      </c>
      <c r="H232" s="144"/>
      <c r="J232" s="34"/>
      <c r="AQ232" s="123"/>
    </row>
    <row r="233" spans="1:43" s="122" customFormat="1" ht="13.8">
      <c r="A233" s="58" t="s">
        <v>322</v>
      </c>
      <c r="B233" s="44"/>
      <c r="C233" s="145" t="s">
        <v>336</v>
      </c>
      <c r="D233" s="129" t="s">
        <v>974</v>
      </c>
      <c r="E233" s="87"/>
      <c r="F233" s="88">
        <f>0.255*17*1</f>
        <v>4.335</v>
      </c>
      <c r="G233" s="97">
        <v>1</v>
      </c>
      <c r="H233" s="144"/>
      <c r="J233" s="34"/>
      <c r="AQ233" s="123"/>
    </row>
    <row r="234" spans="1:43" s="122" customFormat="1" ht="13.8">
      <c r="A234" s="58" t="s">
        <v>323</v>
      </c>
      <c r="B234" s="44"/>
      <c r="C234" s="145" t="s">
        <v>335</v>
      </c>
      <c r="D234" s="129" t="s">
        <v>262</v>
      </c>
      <c r="E234" s="87"/>
      <c r="F234" s="88">
        <f t="shared" ref="F234:F236" si="4">0.255*16*1</f>
        <v>4.08</v>
      </c>
      <c r="G234" s="97">
        <v>1</v>
      </c>
      <c r="H234" s="144"/>
      <c r="J234" s="34"/>
      <c r="AQ234" s="123"/>
    </row>
    <row r="235" spans="1:43" s="122" customFormat="1" ht="13.8">
      <c r="A235" s="58" t="s">
        <v>324</v>
      </c>
      <c r="B235" s="44"/>
      <c r="C235" s="145" t="s">
        <v>334</v>
      </c>
      <c r="D235" s="129" t="s">
        <v>262</v>
      </c>
      <c r="E235" s="87"/>
      <c r="F235" s="88">
        <f t="shared" si="4"/>
        <v>4.08</v>
      </c>
      <c r="G235" s="97">
        <v>1</v>
      </c>
      <c r="H235" s="144"/>
      <c r="J235" s="34"/>
      <c r="AQ235" s="123"/>
    </row>
    <row r="236" spans="1:43" s="122" customFormat="1" ht="13.8">
      <c r="A236" s="58" t="s">
        <v>325</v>
      </c>
      <c r="B236" s="44"/>
      <c r="C236" s="145" t="s">
        <v>332</v>
      </c>
      <c r="D236" s="129" t="s">
        <v>262</v>
      </c>
      <c r="E236" s="87"/>
      <c r="F236" s="88">
        <f t="shared" si="4"/>
        <v>4.08</v>
      </c>
      <c r="G236" s="97">
        <v>1</v>
      </c>
      <c r="H236" s="144"/>
      <c r="J236" s="34"/>
      <c r="AQ236" s="123"/>
    </row>
    <row r="237" spans="1:43" s="122" customFormat="1" ht="13.8">
      <c r="A237" s="58" t="s">
        <v>326</v>
      </c>
      <c r="B237" s="44"/>
      <c r="C237" s="145" t="s">
        <v>331</v>
      </c>
      <c r="D237" s="129" t="s">
        <v>262</v>
      </c>
      <c r="E237" s="87"/>
      <c r="F237" s="88">
        <f>0.255*16*1</f>
        <v>4.08</v>
      </c>
      <c r="G237" s="97">
        <v>1</v>
      </c>
      <c r="H237" s="144"/>
      <c r="J237" s="34"/>
      <c r="AQ237" s="123"/>
    </row>
    <row r="238" spans="1:43" s="122" customFormat="1" ht="13.8">
      <c r="A238" s="58" t="s">
        <v>327</v>
      </c>
      <c r="B238" s="44"/>
      <c r="C238" s="145" t="s">
        <v>994</v>
      </c>
      <c r="D238" s="129" t="s">
        <v>262</v>
      </c>
      <c r="E238" s="87"/>
      <c r="F238" s="88">
        <f>0.255*16*1</f>
        <v>4.08</v>
      </c>
      <c r="G238" s="97">
        <v>1</v>
      </c>
      <c r="H238" s="144"/>
      <c r="J238" s="34"/>
      <c r="AQ238" s="123"/>
    </row>
    <row r="239" spans="1:43" s="122" customFormat="1" ht="13.8">
      <c r="A239" s="58" t="s">
        <v>328</v>
      </c>
      <c r="B239" s="44"/>
      <c r="C239" s="145" t="s">
        <v>329</v>
      </c>
      <c r="D239" s="129" t="s">
        <v>974</v>
      </c>
      <c r="E239" s="87"/>
      <c r="F239" s="88">
        <f>0.255*17*1</f>
        <v>4.335</v>
      </c>
      <c r="G239" s="97">
        <v>1</v>
      </c>
      <c r="H239" s="144"/>
      <c r="J239" s="34"/>
      <c r="AQ239" s="123"/>
    </row>
    <row r="240" spans="1:43" s="122" customFormat="1" ht="13.8">
      <c r="A240" s="58" t="s">
        <v>329</v>
      </c>
      <c r="B240" s="44"/>
      <c r="C240" s="145" t="s">
        <v>328</v>
      </c>
      <c r="D240" s="129" t="s">
        <v>992</v>
      </c>
      <c r="E240" s="87"/>
      <c r="F240" s="88">
        <f>0.255*28*1</f>
        <v>7.1400000000000006</v>
      </c>
      <c r="G240" s="97">
        <v>1</v>
      </c>
      <c r="H240" s="144"/>
      <c r="J240" s="34"/>
      <c r="AQ240" s="123"/>
    </row>
    <row r="241" spans="1:43" s="122" customFormat="1" ht="13.8">
      <c r="A241" s="58" t="s">
        <v>330</v>
      </c>
      <c r="B241" s="44"/>
      <c r="C241" s="145" t="s">
        <v>995</v>
      </c>
      <c r="D241" s="94" t="s">
        <v>973</v>
      </c>
      <c r="E241" s="87"/>
      <c r="F241" s="88">
        <f>0.255*18*1</f>
        <v>4.59</v>
      </c>
      <c r="G241" s="97">
        <v>1</v>
      </c>
      <c r="H241" s="144"/>
      <c r="J241" s="34"/>
      <c r="AQ241" s="123"/>
    </row>
    <row r="242" spans="1:43" s="122" customFormat="1" ht="13.8">
      <c r="A242" s="58" t="s">
        <v>331</v>
      </c>
      <c r="B242" s="44"/>
      <c r="C242" s="145" t="s">
        <v>326</v>
      </c>
      <c r="D242" s="94" t="s">
        <v>973</v>
      </c>
      <c r="E242" s="87"/>
      <c r="F242" s="88">
        <f>0.255*18*1</f>
        <v>4.59</v>
      </c>
      <c r="G242" s="97">
        <v>1</v>
      </c>
      <c r="H242" s="144"/>
      <c r="J242" s="34"/>
      <c r="AQ242" s="123"/>
    </row>
    <row r="243" spans="1:43" s="122" customFormat="1" ht="13.8">
      <c r="A243" s="58" t="s">
        <v>332</v>
      </c>
      <c r="B243" s="44"/>
      <c r="C243" s="145" t="s">
        <v>325</v>
      </c>
      <c r="D243" s="94" t="s">
        <v>996</v>
      </c>
      <c r="E243" s="87"/>
      <c r="F243" s="88">
        <f>0.255*30*1</f>
        <v>7.65</v>
      </c>
      <c r="G243" s="97">
        <v>1</v>
      </c>
      <c r="H243" s="144"/>
      <c r="J243" s="34"/>
      <c r="AQ243" s="123"/>
    </row>
    <row r="244" spans="1:43" s="122" customFormat="1" ht="13.8">
      <c r="A244" s="58" t="s">
        <v>334</v>
      </c>
      <c r="B244" s="44"/>
      <c r="C244" s="147"/>
      <c r="D244" s="129"/>
      <c r="E244" s="87"/>
      <c r="F244" s="88"/>
      <c r="G244" s="97"/>
      <c r="H244" s="144"/>
      <c r="J244" s="34"/>
      <c r="AQ244" s="123"/>
    </row>
    <row r="245" spans="1:43" s="122" customFormat="1" ht="13.8">
      <c r="A245" s="58" t="s">
        <v>335</v>
      </c>
      <c r="B245" s="44"/>
      <c r="C245" s="141" t="s">
        <v>962</v>
      </c>
      <c r="D245" s="143" t="s">
        <v>1382</v>
      </c>
      <c r="E245" s="87"/>
      <c r="F245" s="88"/>
      <c r="G245" s="97"/>
      <c r="H245" s="144"/>
      <c r="J245" s="34"/>
      <c r="AQ245" s="123"/>
    </row>
    <row r="246" spans="1:43" s="122" customFormat="1" ht="13.8">
      <c r="A246" s="58" t="s">
        <v>336</v>
      </c>
      <c r="B246" s="44"/>
      <c r="C246" s="147" t="s">
        <v>537</v>
      </c>
      <c r="D246" s="129" t="s">
        <v>963</v>
      </c>
      <c r="E246" s="87"/>
      <c r="F246" s="88">
        <f>0.255*22*1</f>
        <v>5.61</v>
      </c>
      <c r="G246" s="97">
        <v>1</v>
      </c>
      <c r="H246" s="144"/>
      <c r="J246" s="34"/>
      <c r="AQ246" s="123"/>
    </row>
    <row r="247" spans="1:43" s="122" customFormat="1" ht="13.8">
      <c r="A247" s="58" t="s">
        <v>337</v>
      </c>
      <c r="B247" s="44"/>
      <c r="C247" s="147" t="s">
        <v>605</v>
      </c>
      <c r="D247" s="129" t="s">
        <v>1006</v>
      </c>
      <c r="E247" s="87"/>
      <c r="F247" s="88">
        <f>0.255*26*1</f>
        <v>6.63</v>
      </c>
      <c r="G247" s="97">
        <v>1</v>
      </c>
      <c r="H247" s="144"/>
      <c r="J247" s="34"/>
      <c r="AQ247" s="123"/>
    </row>
    <row r="248" spans="1:43" s="122" customFormat="1" ht="13.8">
      <c r="A248" s="58" t="s">
        <v>338</v>
      </c>
      <c r="B248" s="44"/>
      <c r="C248" s="147" t="s">
        <v>603</v>
      </c>
      <c r="D248" s="129" t="s">
        <v>1006</v>
      </c>
      <c r="E248" s="87"/>
      <c r="F248" s="88">
        <f>0.255*26*1</f>
        <v>6.63</v>
      </c>
      <c r="G248" s="97">
        <v>1</v>
      </c>
      <c r="H248" s="144"/>
      <c r="J248" s="34"/>
      <c r="AQ248" s="123"/>
    </row>
    <row r="249" spans="1:43" s="122" customFormat="1" ht="13.8">
      <c r="A249" s="58" t="s">
        <v>339</v>
      </c>
      <c r="B249" s="44"/>
      <c r="C249" s="147" t="s">
        <v>601</v>
      </c>
      <c r="D249" s="129" t="s">
        <v>1006</v>
      </c>
      <c r="E249" s="87"/>
      <c r="F249" s="88">
        <f t="shared" ref="F249:F250" si="5">0.255*26*1</f>
        <v>6.63</v>
      </c>
      <c r="G249" s="97">
        <v>1</v>
      </c>
      <c r="H249" s="144"/>
      <c r="J249" s="34"/>
      <c r="AQ249" s="123"/>
    </row>
    <row r="250" spans="1:43" s="122" customFormat="1" ht="13.8">
      <c r="A250" s="58" t="s">
        <v>340</v>
      </c>
      <c r="B250" s="44"/>
      <c r="C250" s="147" t="s">
        <v>599</v>
      </c>
      <c r="D250" s="129" t="s">
        <v>1006</v>
      </c>
      <c r="E250" s="87"/>
      <c r="F250" s="88">
        <f t="shared" si="5"/>
        <v>6.63</v>
      </c>
      <c r="G250" s="97">
        <v>1</v>
      </c>
      <c r="H250" s="144"/>
      <c r="J250" s="34"/>
      <c r="AQ250" s="123"/>
    </row>
    <row r="251" spans="1:43" s="122" customFormat="1" ht="13.8">
      <c r="A251" s="58" t="s">
        <v>341</v>
      </c>
      <c r="B251" s="44"/>
      <c r="C251" s="145" t="s">
        <v>453</v>
      </c>
      <c r="D251" s="129" t="s">
        <v>270</v>
      </c>
      <c r="E251" s="87"/>
      <c r="F251" s="88">
        <f>0.255*22*2</f>
        <v>11.22</v>
      </c>
      <c r="G251" s="97">
        <v>2</v>
      </c>
      <c r="H251" s="144"/>
      <c r="J251" s="34"/>
      <c r="AQ251" s="123"/>
    </row>
    <row r="252" spans="1:43" s="122" customFormat="1" ht="13.8">
      <c r="A252" s="58" t="s">
        <v>342</v>
      </c>
      <c r="B252" s="44"/>
      <c r="C252" s="145" t="s">
        <v>452</v>
      </c>
      <c r="D252" s="94" t="s">
        <v>1007</v>
      </c>
      <c r="E252" s="87"/>
      <c r="F252" s="88">
        <f>0.255*30*2</f>
        <v>15.3</v>
      </c>
      <c r="G252" s="97">
        <v>2</v>
      </c>
      <c r="H252" s="144"/>
      <c r="J252" s="34"/>
      <c r="AQ252" s="123"/>
    </row>
    <row r="253" spans="1:43" s="122" customFormat="1" ht="13.8">
      <c r="A253" s="58" t="s">
        <v>343</v>
      </c>
      <c r="B253" s="44"/>
      <c r="C253" s="145" t="s">
        <v>451</v>
      </c>
      <c r="D253" s="94" t="s">
        <v>1008</v>
      </c>
      <c r="E253" s="87"/>
      <c r="F253" s="88">
        <f>0.255*30*3</f>
        <v>22.950000000000003</v>
      </c>
      <c r="G253" s="97">
        <v>3</v>
      </c>
      <c r="H253" s="144"/>
      <c r="J253" s="34"/>
      <c r="AQ253" s="123"/>
    </row>
    <row r="254" spans="1:43" s="122" customFormat="1" ht="13.8">
      <c r="A254" s="58" t="s">
        <v>344</v>
      </c>
      <c r="B254" s="44"/>
      <c r="C254" s="145"/>
      <c r="D254" s="129"/>
      <c r="E254" s="87"/>
      <c r="F254" s="88"/>
      <c r="G254" s="97"/>
      <c r="H254" s="144"/>
      <c r="J254" s="34"/>
      <c r="AQ254" s="123"/>
    </row>
    <row r="255" spans="1:43" s="122" customFormat="1" ht="13.8">
      <c r="A255" s="58" t="s">
        <v>345</v>
      </c>
      <c r="B255" s="44"/>
      <c r="C255" s="145"/>
      <c r="D255" s="140" t="s">
        <v>1383</v>
      </c>
      <c r="E255" s="87"/>
      <c r="F255" s="88"/>
      <c r="G255" s="97"/>
      <c r="H255" s="144"/>
      <c r="J255" s="34"/>
      <c r="AQ255" s="123"/>
    </row>
    <row r="256" spans="1:43" s="122" customFormat="1" ht="13.8">
      <c r="A256" s="58" t="s">
        <v>346</v>
      </c>
      <c r="B256" s="44"/>
      <c r="C256" s="145"/>
      <c r="D256" s="107" t="s">
        <v>1384</v>
      </c>
      <c r="E256" s="47" t="s">
        <v>41</v>
      </c>
      <c r="F256" s="49">
        <f>SUM(F258:F353)</f>
        <v>430.78999999999991</v>
      </c>
      <c r="G256" s="97"/>
      <c r="H256" s="144"/>
      <c r="J256" s="34"/>
      <c r="AQ256" s="123"/>
    </row>
    <row r="257" spans="1:43" s="122" customFormat="1" ht="13.8">
      <c r="A257" s="58" t="s">
        <v>347</v>
      </c>
      <c r="B257" s="44"/>
      <c r="C257" s="141" t="s">
        <v>962</v>
      </c>
      <c r="D257" s="143" t="s">
        <v>1385</v>
      </c>
      <c r="E257" s="87"/>
      <c r="F257" s="88"/>
      <c r="G257" s="97"/>
      <c r="H257" s="144"/>
      <c r="J257" s="34"/>
      <c r="AQ257" s="123"/>
    </row>
    <row r="258" spans="1:43" s="122" customFormat="1" ht="13.8">
      <c r="A258" s="58" t="s">
        <v>349</v>
      </c>
      <c r="B258" s="44"/>
      <c r="C258" s="145" t="s">
        <v>298</v>
      </c>
      <c r="D258" s="94" t="s">
        <v>1009</v>
      </c>
      <c r="E258" s="87"/>
      <c r="F258" s="88">
        <f>0.44*7*1</f>
        <v>3.08</v>
      </c>
      <c r="G258" s="97">
        <v>1</v>
      </c>
      <c r="H258" s="144"/>
      <c r="J258" s="34"/>
      <c r="AQ258" s="123"/>
    </row>
    <row r="259" spans="1:43" s="122" customFormat="1" ht="13.8">
      <c r="A259" s="58" t="s">
        <v>350</v>
      </c>
      <c r="B259" s="44"/>
      <c r="C259" s="145"/>
      <c r="D259" s="129"/>
      <c r="E259" s="87"/>
      <c r="F259" s="88"/>
      <c r="G259" s="97"/>
      <c r="H259" s="144"/>
      <c r="J259" s="34"/>
      <c r="AQ259" s="123"/>
    </row>
    <row r="260" spans="1:43" s="122" customFormat="1" ht="13.8">
      <c r="A260" s="58" t="s">
        <v>351</v>
      </c>
      <c r="B260" s="44"/>
      <c r="C260" s="141" t="s">
        <v>962</v>
      </c>
      <c r="D260" s="143" t="s">
        <v>1386</v>
      </c>
      <c r="E260" s="87"/>
      <c r="F260" s="88"/>
      <c r="G260" s="97"/>
      <c r="H260" s="144"/>
      <c r="J260" s="34"/>
      <c r="AQ260" s="123"/>
    </row>
    <row r="261" spans="1:43" s="122" customFormat="1" ht="13.8">
      <c r="A261" s="58" t="s">
        <v>352</v>
      </c>
      <c r="B261" s="44"/>
      <c r="C261" s="147" t="s">
        <v>1010</v>
      </c>
      <c r="D261" s="94" t="s">
        <v>273</v>
      </c>
      <c r="E261" s="87"/>
      <c r="F261" s="88">
        <f>0.255*18*2</f>
        <v>9.18</v>
      </c>
      <c r="G261" s="97">
        <v>2</v>
      </c>
      <c r="H261" s="144"/>
      <c r="J261" s="34"/>
      <c r="AQ261" s="123"/>
    </row>
    <row r="262" spans="1:43" s="122" customFormat="1" ht="13.8">
      <c r="A262" s="58" t="s">
        <v>354</v>
      </c>
      <c r="B262" s="44"/>
      <c r="C262" s="147" t="s">
        <v>247</v>
      </c>
      <c r="D262" s="94" t="s">
        <v>1011</v>
      </c>
      <c r="E262" s="87"/>
      <c r="F262" s="88">
        <f>0.255*28*1</f>
        <v>7.1400000000000006</v>
      </c>
      <c r="G262" s="97">
        <v>1</v>
      </c>
      <c r="H262" s="144"/>
      <c r="J262" s="34"/>
      <c r="AQ262" s="123"/>
    </row>
    <row r="263" spans="1:43" s="122" customFormat="1" ht="13.8">
      <c r="A263" s="58" t="s">
        <v>356</v>
      </c>
      <c r="B263" s="44"/>
      <c r="C263" s="147" t="s">
        <v>378</v>
      </c>
      <c r="D263" s="94" t="s">
        <v>1011</v>
      </c>
      <c r="E263" s="87"/>
      <c r="F263" s="88">
        <f>0.255*28*1</f>
        <v>7.1400000000000006</v>
      </c>
      <c r="G263" s="97">
        <v>1</v>
      </c>
      <c r="H263" s="144"/>
      <c r="J263" s="34"/>
      <c r="AQ263" s="123"/>
    </row>
    <row r="264" spans="1:43" s="122" customFormat="1" ht="13.8">
      <c r="A264" s="58" t="s">
        <v>357</v>
      </c>
      <c r="B264" s="44"/>
      <c r="C264" s="147" t="s">
        <v>381</v>
      </c>
      <c r="D264" s="94" t="s">
        <v>1012</v>
      </c>
      <c r="E264" s="87"/>
      <c r="F264" s="88">
        <f>0.255*19*1</f>
        <v>4.8449999999999998</v>
      </c>
      <c r="G264" s="97">
        <v>1</v>
      </c>
      <c r="H264" s="144"/>
      <c r="J264" s="34"/>
      <c r="AQ264" s="123"/>
    </row>
    <row r="265" spans="1:43" s="122" customFormat="1" ht="13.8">
      <c r="A265" s="58" t="s">
        <v>359</v>
      </c>
      <c r="B265" s="44"/>
      <c r="C265" s="147" t="s">
        <v>384</v>
      </c>
      <c r="D265" s="94" t="s">
        <v>1012</v>
      </c>
      <c r="E265" s="87"/>
      <c r="F265" s="88">
        <f>0.255*19*1</f>
        <v>4.8449999999999998</v>
      </c>
      <c r="G265" s="97">
        <v>1</v>
      </c>
      <c r="H265" s="144"/>
      <c r="J265" s="34"/>
      <c r="AQ265" s="123"/>
    </row>
    <row r="266" spans="1:43" s="122" customFormat="1" ht="13.8">
      <c r="A266" s="58" t="s">
        <v>360</v>
      </c>
      <c r="B266" s="44"/>
      <c r="C266" s="147" t="s">
        <v>386</v>
      </c>
      <c r="D266" s="94" t="s">
        <v>1012</v>
      </c>
      <c r="E266" s="87"/>
      <c r="F266" s="88">
        <f>0.255*19*1</f>
        <v>4.8449999999999998</v>
      </c>
      <c r="G266" s="97">
        <v>1</v>
      </c>
      <c r="H266" s="144"/>
      <c r="J266" s="34"/>
      <c r="AQ266" s="123"/>
    </row>
    <row r="267" spans="1:43" s="122" customFormat="1" ht="13.8">
      <c r="A267" s="58" t="s">
        <v>361</v>
      </c>
      <c r="B267" s="44"/>
      <c r="C267" s="147" t="s">
        <v>388</v>
      </c>
      <c r="D267" s="94" t="s">
        <v>1013</v>
      </c>
      <c r="E267" s="87"/>
      <c r="F267" s="88">
        <f>0.255*19*1</f>
        <v>4.8449999999999998</v>
      </c>
      <c r="G267" s="97">
        <v>1</v>
      </c>
      <c r="H267" s="144"/>
      <c r="J267" s="34"/>
      <c r="AQ267" s="123"/>
    </row>
    <row r="268" spans="1:43" s="122" customFormat="1" ht="13.8">
      <c r="A268" s="58" t="s">
        <v>362</v>
      </c>
      <c r="B268" s="44"/>
      <c r="C268" s="147" t="s">
        <v>390</v>
      </c>
      <c r="D268" s="94" t="s">
        <v>1014</v>
      </c>
      <c r="E268" s="87"/>
      <c r="F268" s="88">
        <f>0.255*22*1</f>
        <v>5.61</v>
      </c>
      <c r="G268" s="97">
        <v>1</v>
      </c>
      <c r="H268" s="144"/>
      <c r="J268" s="34"/>
      <c r="AQ268" s="123"/>
    </row>
    <row r="269" spans="1:43" s="122" customFormat="1" ht="13.8">
      <c r="A269" s="58" t="s">
        <v>363</v>
      </c>
      <c r="B269" s="44"/>
      <c r="C269" s="147"/>
      <c r="D269" s="129"/>
      <c r="E269" s="87"/>
      <c r="F269" s="88"/>
      <c r="G269" s="97"/>
      <c r="H269" s="144"/>
      <c r="J269" s="34"/>
      <c r="AQ269" s="123"/>
    </row>
    <row r="270" spans="1:43" s="122" customFormat="1" ht="13.8">
      <c r="A270" s="58" t="s">
        <v>364</v>
      </c>
      <c r="B270" s="44"/>
      <c r="C270" s="141" t="s">
        <v>962</v>
      </c>
      <c r="D270" s="143" t="s">
        <v>1387</v>
      </c>
      <c r="E270" s="87"/>
      <c r="F270" s="88"/>
      <c r="G270" s="97"/>
      <c r="H270" s="144"/>
      <c r="J270" s="34"/>
      <c r="AQ270" s="123"/>
    </row>
    <row r="271" spans="1:43" s="122" customFormat="1" ht="13.8">
      <c r="A271" s="58" t="s">
        <v>365</v>
      </c>
      <c r="B271" s="44"/>
      <c r="C271" s="147" t="s">
        <v>191</v>
      </c>
      <c r="D271" s="94" t="s">
        <v>1006</v>
      </c>
      <c r="E271" s="87"/>
      <c r="F271" s="88">
        <f>0.255*26*1</f>
        <v>6.63</v>
      </c>
      <c r="G271" s="97">
        <v>1</v>
      </c>
      <c r="H271" s="144"/>
      <c r="J271" s="34"/>
      <c r="AQ271" s="123"/>
    </row>
    <row r="272" spans="1:43" s="122" customFormat="1" ht="13.8">
      <c r="A272" s="58" t="s">
        <v>366</v>
      </c>
      <c r="B272" s="44"/>
      <c r="C272" s="147" t="s">
        <v>191</v>
      </c>
      <c r="D272" s="94" t="s">
        <v>1104</v>
      </c>
      <c r="E272" s="87"/>
      <c r="F272" s="88">
        <f>0.205*12*1</f>
        <v>2.46</v>
      </c>
      <c r="G272" s="97">
        <v>1</v>
      </c>
      <c r="H272" s="144"/>
      <c r="J272" s="34"/>
      <c r="AQ272" s="123"/>
    </row>
    <row r="273" spans="1:43" s="122" customFormat="1" ht="13.8">
      <c r="A273" s="58" t="s">
        <v>367</v>
      </c>
      <c r="B273" s="44"/>
      <c r="C273" s="147" t="s">
        <v>459</v>
      </c>
      <c r="D273" s="94" t="s">
        <v>989</v>
      </c>
      <c r="E273" s="87"/>
      <c r="F273" s="88">
        <f>0.255*20*1</f>
        <v>5.0999999999999996</v>
      </c>
      <c r="G273" s="97">
        <v>1</v>
      </c>
      <c r="H273" s="144"/>
      <c r="J273" s="34"/>
      <c r="AQ273" s="123"/>
    </row>
    <row r="274" spans="1:43" s="122" customFormat="1" ht="13.8">
      <c r="A274" s="58" t="s">
        <v>368</v>
      </c>
      <c r="B274" s="44"/>
      <c r="C274" s="147" t="s">
        <v>1015</v>
      </c>
      <c r="D274" s="94" t="s">
        <v>1001</v>
      </c>
      <c r="E274" s="87"/>
      <c r="F274" s="88">
        <f>0.255*24*1</f>
        <v>6.12</v>
      </c>
      <c r="G274" s="97">
        <v>1</v>
      </c>
      <c r="H274" s="144"/>
      <c r="J274" s="34"/>
      <c r="AQ274" s="123"/>
    </row>
    <row r="275" spans="1:43" s="122" customFormat="1" ht="13.8">
      <c r="A275" s="58" t="s">
        <v>369</v>
      </c>
      <c r="B275" s="44"/>
      <c r="C275" s="147" t="s">
        <v>462</v>
      </c>
      <c r="D275" s="94" t="s">
        <v>978</v>
      </c>
      <c r="E275" s="87"/>
      <c r="F275" s="88">
        <f>0.255*19*1</f>
        <v>4.8449999999999998</v>
      </c>
      <c r="G275" s="97">
        <v>1</v>
      </c>
      <c r="H275" s="144"/>
      <c r="J275" s="34"/>
      <c r="AQ275" s="123"/>
    </row>
    <row r="276" spans="1:43" s="122" customFormat="1" ht="13.8">
      <c r="A276" s="58" t="s">
        <v>371</v>
      </c>
      <c r="B276" s="44"/>
      <c r="C276" s="147" t="s">
        <v>465</v>
      </c>
      <c r="D276" s="94" t="s">
        <v>262</v>
      </c>
      <c r="E276" s="87"/>
      <c r="F276" s="88">
        <f>0.255*16*1</f>
        <v>4.08</v>
      </c>
      <c r="G276" s="97">
        <v>1</v>
      </c>
      <c r="H276" s="144"/>
      <c r="J276" s="34"/>
      <c r="AQ276" s="123"/>
    </row>
    <row r="277" spans="1:43" s="122" customFormat="1" ht="13.8">
      <c r="A277" s="58" t="s">
        <v>373</v>
      </c>
      <c r="B277" s="44"/>
      <c r="C277" s="147" t="s">
        <v>467</v>
      </c>
      <c r="D277" s="94" t="s">
        <v>262</v>
      </c>
      <c r="E277" s="87"/>
      <c r="F277" s="88">
        <f>0.255*16*1</f>
        <v>4.08</v>
      </c>
      <c r="G277" s="97">
        <v>1</v>
      </c>
      <c r="H277" s="144"/>
      <c r="J277" s="34"/>
      <c r="AQ277" s="123"/>
    </row>
    <row r="278" spans="1:43" s="122" customFormat="1" ht="13.8">
      <c r="A278" s="58" t="s">
        <v>374</v>
      </c>
      <c r="B278" s="44"/>
      <c r="C278" s="147" t="s">
        <v>469</v>
      </c>
      <c r="D278" s="94" t="s">
        <v>262</v>
      </c>
      <c r="E278" s="87"/>
      <c r="F278" s="88">
        <f>0.255*16*1</f>
        <v>4.08</v>
      </c>
      <c r="G278" s="97">
        <v>1</v>
      </c>
      <c r="H278" s="144"/>
      <c r="J278" s="34"/>
      <c r="AQ278" s="123"/>
    </row>
    <row r="279" spans="1:43" s="122" customFormat="1" ht="13.8">
      <c r="A279" s="58" t="s">
        <v>375</v>
      </c>
      <c r="B279" s="44"/>
      <c r="C279" s="147" t="s">
        <v>471</v>
      </c>
      <c r="D279" s="94" t="s">
        <v>262</v>
      </c>
      <c r="E279" s="87"/>
      <c r="F279" s="88">
        <f>0.255*16*1</f>
        <v>4.08</v>
      </c>
      <c r="G279" s="97">
        <v>1</v>
      </c>
      <c r="H279" s="144"/>
      <c r="J279" s="34"/>
      <c r="AQ279" s="123"/>
    </row>
    <row r="280" spans="1:43" s="122" customFormat="1" ht="13.8">
      <c r="A280" s="58" t="s">
        <v>376</v>
      </c>
      <c r="B280" s="44"/>
      <c r="C280" s="147" t="s">
        <v>473</v>
      </c>
      <c r="D280" s="94" t="s">
        <v>978</v>
      </c>
      <c r="E280" s="87"/>
      <c r="F280" s="88">
        <f>0.255*19*1</f>
        <v>4.8449999999999998</v>
      </c>
      <c r="G280" s="97">
        <v>1</v>
      </c>
      <c r="H280" s="144"/>
      <c r="J280" s="34"/>
      <c r="AQ280" s="123"/>
    </row>
    <row r="281" spans="1:43" s="122" customFormat="1" ht="13.8">
      <c r="A281" s="58" t="s">
        <v>377</v>
      </c>
      <c r="B281" s="44"/>
      <c r="C281" s="147"/>
      <c r="D281" s="94"/>
      <c r="E281" s="87"/>
      <c r="F281" s="88"/>
      <c r="G281" s="97"/>
      <c r="H281" s="144"/>
      <c r="J281" s="34"/>
      <c r="AQ281" s="123"/>
    </row>
    <row r="282" spans="1:43" s="122" customFormat="1" ht="13.8">
      <c r="A282" s="58" t="s">
        <v>379</v>
      </c>
      <c r="B282" s="44"/>
      <c r="C282" s="141" t="s">
        <v>962</v>
      </c>
      <c r="D282" s="143" t="s">
        <v>1388</v>
      </c>
      <c r="E282" s="87"/>
      <c r="F282" s="88"/>
      <c r="G282" s="97"/>
      <c r="H282" s="144"/>
      <c r="J282" s="34"/>
      <c r="AQ282" s="123"/>
    </row>
    <row r="283" spans="1:43" s="122" customFormat="1" ht="13.8">
      <c r="A283" s="58" t="s">
        <v>380</v>
      </c>
      <c r="B283" s="44"/>
      <c r="C283" s="147" t="s">
        <v>352</v>
      </c>
      <c r="D283" s="94" t="s">
        <v>1006</v>
      </c>
      <c r="E283" s="87"/>
      <c r="F283" s="88">
        <f>0.255*26*1</f>
        <v>6.63</v>
      </c>
      <c r="G283" s="97">
        <v>1</v>
      </c>
      <c r="H283" s="144"/>
      <c r="J283" s="34"/>
      <c r="AQ283" s="123"/>
    </row>
    <row r="284" spans="1:43" s="122" customFormat="1" ht="13.8">
      <c r="A284" s="58" t="s">
        <v>382</v>
      </c>
      <c r="B284" s="44"/>
      <c r="C284" s="147" t="s">
        <v>543</v>
      </c>
      <c r="D284" s="94" t="s">
        <v>262</v>
      </c>
      <c r="E284" s="87"/>
      <c r="F284" s="88">
        <f t="shared" ref="F284:F289" si="6">0.255*16*1</f>
        <v>4.08</v>
      </c>
      <c r="G284" s="97">
        <v>1</v>
      </c>
      <c r="H284" s="144"/>
      <c r="J284" s="34"/>
      <c r="AQ284" s="123"/>
    </row>
    <row r="285" spans="1:43" s="122" customFormat="1" ht="13.8">
      <c r="A285" s="58" t="s">
        <v>383</v>
      </c>
      <c r="B285" s="44"/>
      <c r="C285" s="147" t="s">
        <v>545</v>
      </c>
      <c r="D285" s="94" t="s">
        <v>262</v>
      </c>
      <c r="E285" s="87"/>
      <c r="F285" s="88">
        <f t="shared" si="6"/>
        <v>4.08</v>
      </c>
      <c r="G285" s="97">
        <v>1</v>
      </c>
      <c r="H285" s="144"/>
      <c r="J285" s="34"/>
      <c r="AQ285" s="123"/>
    </row>
    <row r="286" spans="1:43" s="122" customFormat="1" ht="13.8">
      <c r="A286" s="58" t="s">
        <v>385</v>
      </c>
      <c r="B286" s="44"/>
      <c r="C286" s="147" t="s">
        <v>357</v>
      </c>
      <c r="D286" s="94" t="s">
        <v>989</v>
      </c>
      <c r="E286" s="87"/>
      <c r="F286" s="88">
        <f>0.255*20*1</f>
        <v>5.0999999999999996</v>
      </c>
      <c r="G286" s="97">
        <v>1</v>
      </c>
      <c r="H286" s="144"/>
      <c r="J286" s="34"/>
      <c r="AQ286" s="123"/>
    </row>
    <row r="287" spans="1:43" s="122" customFormat="1" ht="13.8">
      <c r="A287" s="58" t="s">
        <v>387</v>
      </c>
      <c r="B287" s="44"/>
      <c r="C287" s="147" t="s">
        <v>548</v>
      </c>
      <c r="D287" s="94" t="s">
        <v>262</v>
      </c>
      <c r="E287" s="87"/>
      <c r="F287" s="88">
        <f t="shared" si="6"/>
        <v>4.08</v>
      </c>
      <c r="G287" s="97">
        <v>1</v>
      </c>
      <c r="H287" s="144"/>
      <c r="J287" s="34"/>
      <c r="AQ287" s="123"/>
    </row>
    <row r="288" spans="1:43" s="122" customFormat="1" ht="13.8">
      <c r="A288" s="58" t="s">
        <v>389</v>
      </c>
      <c r="B288" s="44"/>
      <c r="C288" s="147" t="s">
        <v>550</v>
      </c>
      <c r="D288" s="94" t="s">
        <v>965</v>
      </c>
      <c r="E288" s="87"/>
      <c r="F288" s="88">
        <f>0.255*16*2</f>
        <v>8.16</v>
      </c>
      <c r="G288" s="97">
        <v>2</v>
      </c>
      <c r="H288" s="144"/>
      <c r="J288" s="34"/>
      <c r="AQ288" s="123"/>
    </row>
    <row r="289" spans="1:43" s="122" customFormat="1" ht="13.8">
      <c r="A289" s="58" t="s">
        <v>391</v>
      </c>
      <c r="B289" s="44"/>
      <c r="C289" s="147" t="s">
        <v>552</v>
      </c>
      <c r="D289" s="94" t="s">
        <v>262</v>
      </c>
      <c r="E289" s="87"/>
      <c r="F289" s="88">
        <f t="shared" si="6"/>
        <v>4.08</v>
      </c>
      <c r="G289" s="97">
        <v>1</v>
      </c>
      <c r="H289" s="144"/>
      <c r="J289" s="34"/>
      <c r="AQ289" s="123"/>
    </row>
    <row r="290" spans="1:43" s="122" customFormat="1" ht="13.8">
      <c r="A290" s="58" t="s">
        <v>393</v>
      </c>
      <c r="B290" s="44"/>
      <c r="C290" s="147" t="s">
        <v>554</v>
      </c>
      <c r="D290" s="94" t="s">
        <v>973</v>
      </c>
      <c r="E290" s="87"/>
      <c r="F290" s="88">
        <f>0.255*18*1</f>
        <v>4.59</v>
      </c>
      <c r="G290" s="97">
        <v>1</v>
      </c>
      <c r="H290" s="144"/>
      <c r="J290" s="34"/>
      <c r="AQ290" s="123"/>
    </row>
    <row r="291" spans="1:43" s="122" customFormat="1" ht="13.8">
      <c r="A291" s="58" t="s">
        <v>394</v>
      </c>
      <c r="B291" s="44"/>
      <c r="C291" s="147"/>
      <c r="D291" s="94"/>
      <c r="E291" s="87"/>
      <c r="F291" s="88"/>
      <c r="G291" s="97"/>
      <c r="H291" s="144"/>
      <c r="J291" s="34"/>
      <c r="AQ291" s="123"/>
    </row>
    <row r="292" spans="1:43" s="122" customFormat="1" ht="13.8">
      <c r="A292" s="58" t="s">
        <v>396</v>
      </c>
      <c r="B292" s="44"/>
      <c r="C292" s="141" t="s">
        <v>962</v>
      </c>
      <c r="D292" s="143" t="s">
        <v>1389</v>
      </c>
      <c r="E292" s="87"/>
      <c r="F292" s="88"/>
      <c r="G292" s="97"/>
      <c r="H292" s="144"/>
      <c r="J292" s="34"/>
      <c r="AQ292" s="123"/>
    </row>
    <row r="293" spans="1:43" s="122" customFormat="1" ht="13.8">
      <c r="A293" s="58" t="s">
        <v>398</v>
      </c>
      <c r="B293" s="44"/>
      <c r="C293" s="145" t="s">
        <v>498</v>
      </c>
      <c r="D293" s="94" t="s">
        <v>259</v>
      </c>
      <c r="E293" s="87"/>
      <c r="F293" s="88">
        <f>0.255*15*1</f>
        <v>3.8250000000000002</v>
      </c>
      <c r="G293" s="97">
        <v>1</v>
      </c>
      <c r="H293" s="144"/>
      <c r="J293" s="34"/>
      <c r="AQ293" s="123"/>
    </row>
    <row r="294" spans="1:43" s="122" customFormat="1" ht="13.8">
      <c r="A294" s="58" t="s">
        <v>400</v>
      </c>
      <c r="B294" s="44"/>
      <c r="C294" s="147" t="s">
        <v>498</v>
      </c>
      <c r="D294" s="94" t="s">
        <v>996</v>
      </c>
      <c r="E294" s="87"/>
      <c r="F294" s="88">
        <f>0.255*30*1</f>
        <v>7.65</v>
      </c>
      <c r="G294" s="97">
        <v>1</v>
      </c>
      <c r="H294" s="144"/>
      <c r="J294" s="34"/>
      <c r="AQ294" s="123"/>
    </row>
    <row r="295" spans="1:43" s="122" customFormat="1" ht="13.8">
      <c r="A295" s="58" t="s">
        <v>402</v>
      </c>
      <c r="B295" s="44"/>
      <c r="C295" s="147" t="s">
        <v>499</v>
      </c>
      <c r="D295" s="94" t="s">
        <v>1017</v>
      </c>
      <c r="E295" s="87"/>
      <c r="F295" s="88">
        <f>0.255*25*2</f>
        <v>12.75</v>
      </c>
      <c r="G295" s="97">
        <v>2</v>
      </c>
      <c r="H295" s="144"/>
      <c r="J295" s="34"/>
      <c r="AQ295" s="123"/>
    </row>
    <row r="296" spans="1:43" s="122" customFormat="1" ht="13.8">
      <c r="A296" s="58" t="s">
        <v>404</v>
      </c>
      <c r="B296" s="44"/>
      <c r="C296" s="147" t="s">
        <v>640</v>
      </c>
      <c r="D296" s="94" t="s">
        <v>1003</v>
      </c>
      <c r="E296" s="87"/>
      <c r="F296" s="88">
        <f>0.255*29*1</f>
        <v>7.3950000000000005</v>
      </c>
      <c r="G296" s="97">
        <v>1</v>
      </c>
      <c r="H296" s="144"/>
      <c r="J296" s="34"/>
      <c r="AQ296" s="123"/>
    </row>
    <row r="297" spans="1:43" s="122" customFormat="1" ht="13.8">
      <c r="A297" s="58" t="s">
        <v>405</v>
      </c>
      <c r="B297" s="44"/>
      <c r="C297" s="147" t="s">
        <v>642</v>
      </c>
      <c r="D297" s="94" t="s">
        <v>989</v>
      </c>
      <c r="E297" s="87"/>
      <c r="F297" s="88">
        <f>0.255*20*1</f>
        <v>5.0999999999999996</v>
      </c>
      <c r="G297" s="97">
        <v>1</v>
      </c>
      <c r="H297" s="144"/>
      <c r="J297" s="34"/>
      <c r="AQ297" s="123"/>
    </row>
    <row r="298" spans="1:43" s="122" customFormat="1" ht="13.8">
      <c r="A298" s="58" t="s">
        <v>406</v>
      </c>
      <c r="B298" s="44"/>
      <c r="C298" s="147" t="s">
        <v>502</v>
      </c>
      <c r="D298" s="94" t="s">
        <v>1006</v>
      </c>
      <c r="E298" s="87"/>
      <c r="F298" s="88">
        <f>0.255*26*1</f>
        <v>6.63</v>
      </c>
      <c r="G298" s="97">
        <v>1</v>
      </c>
      <c r="H298" s="144"/>
      <c r="J298" s="34"/>
      <c r="AQ298" s="123"/>
    </row>
    <row r="299" spans="1:43" s="122" customFormat="1" ht="13.8">
      <c r="A299" s="58" t="s">
        <v>407</v>
      </c>
      <c r="B299" s="44"/>
      <c r="C299" s="147" t="s">
        <v>647</v>
      </c>
      <c r="D299" s="94" t="s">
        <v>1019</v>
      </c>
      <c r="E299" s="87"/>
      <c r="F299" s="88">
        <f>0.255*25*1</f>
        <v>6.375</v>
      </c>
      <c r="G299" s="97">
        <v>1</v>
      </c>
      <c r="H299" s="144"/>
      <c r="J299" s="34"/>
      <c r="AQ299" s="123"/>
    </row>
    <row r="300" spans="1:43" s="122" customFormat="1" ht="13.8">
      <c r="A300" s="58" t="s">
        <v>408</v>
      </c>
      <c r="B300" s="44"/>
      <c r="C300" s="147" t="s">
        <v>1018</v>
      </c>
      <c r="D300" s="94" t="s">
        <v>1019</v>
      </c>
      <c r="E300" s="87"/>
      <c r="F300" s="88">
        <f>0.255*25*1</f>
        <v>6.375</v>
      </c>
      <c r="G300" s="97">
        <v>1</v>
      </c>
      <c r="H300" s="144"/>
      <c r="J300" s="34"/>
      <c r="AQ300" s="123"/>
    </row>
    <row r="301" spans="1:43" s="122" customFormat="1" ht="13.8">
      <c r="A301" s="58" t="s">
        <v>409</v>
      </c>
      <c r="B301" s="44"/>
      <c r="C301" s="147" t="s">
        <v>650</v>
      </c>
      <c r="D301" s="94" t="s">
        <v>1019</v>
      </c>
      <c r="E301" s="87"/>
      <c r="F301" s="88">
        <f>0.255*25*1</f>
        <v>6.375</v>
      </c>
      <c r="G301" s="97">
        <v>1</v>
      </c>
      <c r="H301" s="144"/>
      <c r="J301" s="34"/>
      <c r="AQ301" s="123"/>
    </row>
    <row r="302" spans="1:43" s="122" customFormat="1" ht="13.8">
      <c r="A302" s="58" t="s">
        <v>411</v>
      </c>
      <c r="B302" s="44"/>
      <c r="C302" s="147"/>
      <c r="D302" s="94"/>
      <c r="E302" s="87"/>
      <c r="F302" s="88"/>
      <c r="G302" s="97"/>
      <c r="H302" s="144"/>
      <c r="J302" s="34"/>
      <c r="AQ302" s="123"/>
    </row>
    <row r="303" spans="1:43" s="122" customFormat="1" ht="13.8">
      <c r="A303" s="58" t="s">
        <v>412</v>
      </c>
      <c r="B303" s="44"/>
      <c r="C303" s="145"/>
      <c r="D303" s="140" t="s">
        <v>1390</v>
      </c>
      <c r="E303" s="87"/>
      <c r="F303" s="88"/>
      <c r="G303" s="97"/>
      <c r="H303" s="144"/>
      <c r="J303" s="34"/>
      <c r="AQ303" s="123"/>
    </row>
    <row r="304" spans="1:43" s="122" customFormat="1" ht="13.8">
      <c r="A304" s="58" t="s">
        <v>413</v>
      </c>
      <c r="B304" s="44"/>
      <c r="C304" s="145"/>
      <c r="D304" s="107" t="s">
        <v>1391</v>
      </c>
      <c r="E304" s="87"/>
      <c r="F304" s="97"/>
      <c r="G304" s="97"/>
      <c r="H304" s="144"/>
      <c r="J304" s="34"/>
      <c r="AQ304" s="123"/>
    </row>
    <row r="305" spans="1:43" s="122" customFormat="1" ht="13.8">
      <c r="A305" s="58" t="s">
        <v>414</v>
      </c>
      <c r="B305" s="44"/>
      <c r="C305" s="141" t="s">
        <v>962</v>
      </c>
      <c r="D305" s="143" t="s">
        <v>1392</v>
      </c>
      <c r="E305" s="87"/>
      <c r="F305" s="88"/>
      <c r="G305" s="97"/>
      <c r="H305" s="144"/>
      <c r="J305" s="34"/>
      <c r="AQ305" s="123"/>
    </row>
    <row r="306" spans="1:43" s="122" customFormat="1" ht="13.8">
      <c r="A306" s="58" t="s">
        <v>415</v>
      </c>
      <c r="B306" s="44"/>
      <c r="C306" s="145"/>
      <c r="D306" s="94"/>
      <c r="E306" s="87"/>
      <c r="F306" s="88"/>
      <c r="G306" s="97"/>
      <c r="H306" s="144"/>
      <c r="J306" s="34"/>
      <c r="AQ306" s="123"/>
    </row>
    <row r="307" spans="1:43" s="122" customFormat="1" ht="13.8">
      <c r="A307" s="58" t="s">
        <v>416</v>
      </c>
      <c r="B307" s="44"/>
      <c r="C307" s="141" t="s">
        <v>962</v>
      </c>
      <c r="D307" s="143" t="s">
        <v>1393</v>
      </c>
      <c r="E307" s="87"/>
      <c r="F307" s="88"/>
      <c r="G307" s="97"/>
      <c r="H307" s="144"/>
      <c r="J307" s="34"/>
      <c r="AQ307" s="123"/>
    </row>
    <row r="308" spans="1:43" s="122" customFormat="1" ht="13.8">
      <c r="A308" s="58" t="s">
        <v>417</v>
      </c>
      <c r="B308" s="44"/>
      <c r="C308" s="147" t="s">
        <v>392</v>
      </c>
      <c r="D308" s="94" t="s">
        <v>974</v>
      </c>
      <c r="E308" s="87"/>
      <c r="F308" s="88">
        <f>0.255*17*1</f>
        <v>4.335</v>
      </c>
      <c r="G308" s="97">
        <v>1</v>
      </c>
      <c r="H308" s="144"/>
      <c r="J308" s="34"/>
      <c r="AQ308" s="123"/>
    </row>
    <row r="309" spans="1:43" s="122" customFormat="1" ht="13.8">
      <c r="A309" s="58" t="s">
        <v>418</v>
      </c>
      <c r="B309" s="44"/>
      <c r="C309" s="147" t="s">
        <v>1020</v>
      </c>
      <c r="D309" s="94" t="s">
        <v>250</v>
      </c>
      <c r="E309" s="87"/>
      <c r="F309" s="88">
        <f>0.255*14*1</f>
        <v>3.5700000000000003</v>
      </c>
      <c r="G309" s="97">
        <v>1</v>
      </c>
      <c r="H309" s="144"/>
      <c r="J309" s="34"/>
      <c r="AQ309" s="123"/>
    </row>
    <row r="310" spans="1:43" s="122" customFormat="1" ht="13.8">
      <c r="A310" s="58" t="s">
        <v>419</v>
      </c>
      <c r="B310" s="44"/>
      <c r="C310" s="147" t="s">
        <v>267</v>
      </c>
      <c r="D310" s="94" t="s">
        <v>250</v>
      </c>
      <c r="E310" s="87"/>
      <c r="F310" s="88">
        <f>0.255*14*1</f>
        <v>3.5700000000000003</v>
      </c>
      <c r="G310" s="97">
        <v>1</v>
      </c>
      <c r="H310" s="144"/>
      <c r="J310" s="34"/>
      <c r="AQ310" s="123"/>
    </row>
    <row r="311" spans="1:43" s="122" customFormat="1" ht="13.8">
      <c r="A311" s="58" t="s">
        <v>420</v>
      </c>
      <c r="B311" s="44"/>
      <c r="C311" s="147" t="s">
        <v>395</v>
      </c>
      <c r="D311" s="94" t="s">
        <v>250</v>
      </c>
      <c r="E311" s="87"/>
      <c r="F311" s="88">
        <f>0.255*14*1</f>
        <v>3.5700000000000003</v>
      </c>
      <c r="G311" s="97">
        <v>1</v>
      </c>
      <c r="H311" s="144"/>
      <c r="J311" s="34"/>
      <c r="AQ311" s="123"/>
    </row>
    <row r="312" spans="1:43" s="122" customFormat="1" ht="13.8">
      <c r="A312" s="58" t="s">
        <v>421</v>
      </c>
      <c r="B312" s="44"/>
      <c r="C312" s="147" t="s">
        <v>397</v>
      </c>
      <c r="D312" s="94" t="s">
        <v>1021</v>
      </c>
      <c r="E312" s="87"/>
      <c r="F312" s="88">
        <f>0.255*19*1</f>
        <v>4.8449999999999998</v>
      </c>
      <c r="G312" s="97">
        <v>1</v>
      </c>
      <c r="H312" s="144"/>
      <c r="J312" s="34"/>
      <c r="AQ312" s="123"/>
    </row>
    <row r="313" spans="1:43" s="122" customFormat="1" ht="13.8">
      <c r="A313" s="58" t="s">
        <v>422</v>
      </c>
      <c r="B313" s="44"/>
      <c r="C313" s="147" t="s">
        <v>399</v>
      </c>
      <c r="D313" s="94" t="s">
        <v>250</v>
      </c>
      <c r="E313" s="87"/>
      <c r="F313" s="88">
        <f>0.255*14*1</f>
        <v>3.5700000000000003</v>
      </c>
      <c r="G313" s="97">
        <v>1</v>
      </c>
      <c r="H313" s="144"/>
      <c r="J313" s="34"/>
      <c r="AQ313" s="123"/>
    </row>
    <row r="314" spans="1:43" s="122" customFormat="1" ht="13.8">
      <c r="A314" s="58" t="s">
        <v>423</v>
      </c>
      <c r="B314" s="44"/>
      <c r="C314" s="147" t="s">
        <v>401</v>
      </c>
      <c r="D314" s="94" t="s">
        <v>250</v>
      </c>
      <c r="E314" s="87"/>
      <c r="F314" s="88">
        <f>0.255*14*1</f>
        <v>3.5700000000000003</v>
      </c>
      <c r="G314" s="97">
        <v>1</v>
      </c>
      <c r="H314" s="144"/>
      <c r="J314" s="34"/>
      <c r="AQ314" s="123"/>
    </row>
    <row r="315" spans="1:43" s="122" customFormat="1" ht="13.8">
      <c r="A315" s="58" t="s">
        <v>424</v>
      </c>
      <c r="B315" s="44"/>
      <c r="C315" s="147" t="s">
        <v>403</v>
      </c>
      <c r="D315" s="94" t="s">
        <v>1022</v>
      </c>
      <c r="E315" s="87"/>
      <c r="F315" s="88">
        <f>0.255*23*1</f>
        <v>5.8650000000000002</v>
      </c>
      <c r="G315" s="97">
        <v>1</v>
      </c>
      <c r="H315" s="144"/>
      <c r="J315" s="34"/>
      <c r="AQ315" s="123"/>
    </row>
    <row r="316" spans="1:43" s="122" customFormat="1" ht="13.8">
      <c r="A316" s="58" t="s">
        <v>425</v>
      </c>
      <c r="B316" s="44"/>
      <c r="C316" s="147" t="s">
        <v>226</v>
      </c>
      <c r="D316" s="94" t="s">
        <v>1023</v>
      </c>
      <c r="E316" s="87"/>
      <c r="F316" s="88">
        <f>0.185*20*3</f>
        <v>11.100000000000001</v>
      </c>
      <c r="G316" s="97">
        <v>3</v>
      </c>
      <c r="H316" s="144"/>
      <c r="J316" s="34"/>
      <c r="AQ316" s="123"/>
    </row>
    <row r="317" spans="1:43" s="122" customFormat="1" ht="13.8">
      <c r="A317" s="58" t="s">
        <v>426</v>
      </c>
      <c r="B317" s="44"/>
      <c r="C317" s="147" t="s">
        <v>226</v>
      </c>
      <c r="D317" s="129" t="s">
        <v>1105</v>
      </c>
      <c r="E317" s="87"/>
      <c r="F317" s="88">
        <f>0.44*18*2</f>
        <v>15.84</v>
      </c>
      <c r="G317" s="97">
        <v>2</v>
      </c>
      <c r="H317" s="144"/>
      <c r="J317" s="34"/>
      <c r="AQ317" s="123"/>
    </row>
    <row r="318" spans="1:43" s="122" customFormat="1" ht="13.8">
      <c r="A318" s="58" t="s">
        <v>427</v>
      </c>
      <c r="B318" s="44"/>
      <c r="C318" s="147"/>
      <c r="D318" s="94"/>
      <c r="E318" s="87"/>
      <c r="F318" s="88"/>
      <c r="G318" s="97"/>
      <c r="H318" s="144"/>
      <c r="J318" s="34"/>
      <c r="AQ318" s="123"/>
    </row>
    <row r="319" spans="1:43" s="122" customFormat="1" ht="13.8">
      <c r="A319" s="58" t="s">
        <v>428</v>
      </c>
      <c r="B319" s="44"/>
      <c r="C319" s="141" t="s">
        <v>962</v>
      </c>
      <c r="D319" s="143" t="s">
        <v>1394</v>
      </c>
      <c r="E319" s="87"/>
      <c r="F319" s="88"/>
      <c r="G319" s="97"/>
      <c r="H319" s="144"/>
      <c r="J319" s="34"/>
      <c r="AQ319" s="123"/>
    </row>
    <row r="320" spans="1:43" s="122" customFormat="1" ht="13.8">
      <c r="A320" s="58" t="s">
        <v>429</v>
      </c>
      <c r="B320" s="44"/>
      <c r="C320" s="147" t="s">
        <v>475</v>
      </c>
      <c r="D320" s="94" t="s">
        <v>1021</v>
      </c>
      <c r="E320" s="87"/>
      <c r="F320" s="88">
        <f>0.255*19*1</f>
        <v>4.8449999999999998</v>
      </c>
      <c r="G320" s="97">
        <v>1</v>
      </c>
      <c r="H320" s="144"/>
      <c r="J320" s="34"/>
      <c r="AQ320" s="123"/>
    </row>
    <row r="321" spans="1:43" s="122" customFormat="1" ht="13.8">
      <c r="A321" s="58" t="s">
        <v>430</v>
      </c>
      <c r="B321" s="44"/>
      <c r="C321" s="147" t="s">
        <v>477</v>
      </c>
      <c r="D321" s="94" t="s">
        <v>999</v>
      </c>
      <c r="E321" s="87"/>
      <c r="F321" s="88">
        <f>0.255*16*1</f>
        <v>4.08</v>
      </c>
      <c r="G321" s="97">
        <v>1</v>
      </c>
      <c r="H321" s="144"/>
      <c r="J321" s="34"/>
      <c r="AQ321" s="123"/>
    </row>
    <row r="322" spans="1:43" s="122" customFormat="1" ht="13.8">
      <c r="A322" s="58" t="s">
        <v>431</v>
      </c>
      <c r="B322" s="44"/>
      <c r="C322" s="147" t="s">
        <v>479</v>
      </c>
      <c r="D322" s="94" t="s">
        <v>999</v>
      </c>
      <c r="E322" s="87"/>
      <c r="F322" s="88">
        <f>0.255*16*1</f>
        <v>4.08</v>
      </c>
      <c r="G322" s="97">
        <v>1</v>
      </c>
      <c r="H322" s="144"/>
      <c r="J322" s="34"/>
      <c r="AQ322" s="123"/>
    </row>
    <row r="323" spans="1:43" s="122" customFormat="1" ht="13.8">
      <c r="A323" s="58" t="s">
        <v>432</v>
      </c>
      <c r="B323" s="44"/>
      <c r="C323" s="147" t="s">
        <v>481</v>
      </c>
      <c r="D323" s="94" t="s">
        <v>999</v>
      </c>
      <c r="E323" s="87"/>
      <c r="F323" s="88">
        <f>0.255*16*1</f>
        <v>4.08</v>
      </c>
      <c r="G323" s="97">
        <v>1</v>
      </c>
      <c r="H323" s="144"/>
      <c r="J323" s="34"/>
      <c r="AQ323" s="123"/>
    </row>
    <row r="324" spans="1:43" s="122" customFormat="1" ht="13.8">
      <c r="A324" s="58" t="s">
        <v>433</v>
      </c>
      <c r="B324" s="44"/>
      <c r="C324" s="147" t="s">
        <v>483</v>
      </c>
      <c r="D324" s="94" t="s">
        <v>999</v>
      </c>
      <c r="E324" s="87"/>
      <c r="F324" s="88">
        <f t="shared" ref="F324:F326" si="7">0.255*16*1</f>
        <v>4.08</v>
      </c>
      <c r="G324" s="97">
        <v>1</v>
      </c>
      <c r="H324" s="144"/>
      <c r="J324" s="34"/>
      <c r="AQ324" s="123"/>
    </row>
    <row r="325" spans="1:43" s="122" customFormat="1" ht="13.8">
      <c r="A325" s="58" t="s">
        <v>435</v>
      </c>
      <c r="B325" s="44"/>
      <c r="C325" s="147" t="s">
        <v>485</v>
      </c>
      <c r="D325" s="94" t="s">
        <v>999</v>
      </c>
      <c r="E325" s="87"/>
      <c r="F325" s="88">
        <f t="shared" si="7"/>
        <v>4.08</v>
      </c>
      <c r="G325" s="97">
        <v>1</v>
      </c>
      <c r="H325" s="144"/>
      <c r="J325" s="34"/>
      <c r="AQ325" s="123"/>
    </row>
    <row r="326" spans="1:43" s="122" customFormat="1" ht="13.8">
      <c r="A326" s="58" t="s">
        <v>437</v>
      </c>
      <c r="B326" s="44"/>
      <c r="C326" s="147" t="s">
        <v>487</v>
      </c>
      <c r="D326" s="94" t="s">
        <v>999</v>
      </c>
      <c r="E326" s="87"/>
      <c r="F326" s="88">
        <f t="shared" si="7"/>
        <v>4.08</v>
      </c>
      <c r="G326" s="97">
        <v>1</v>
      </c>
      <c r="H326" s="144"/>
      <c r="J326" s="34"/>
      <c r="AQ326" s="123"/>
    </row>
    <row r="327" spans="1:43" s="122" customFormat="1" ht="13.8">
      <c r="A327" s="58" t="s">
        <v>438</v>
      </c>
      <c r="B327" s="44"/>
      <c r="C327" s="147" t="s">
        <v>489</v>
      </c>
      <c r="D327" s="94" t="s">
        <v>1024</v>
      </c>
      <c r="E327" s="87"/>
      <c r="F327" s="88">
        <f>0.255*21*1</f>
        <v>5.3550000000000004</v>
      </c>
      <c r="G327" s="97">
        <v>1</v>
      </c>
      <c r="H327" s="144"/>
      <c r="J327" s="34"/>
      <c r="AQ327" s="123"/>
    </row>
    <row r="328" spans="1:43" s="122" customFormat="1" ht="13.8">
      <c r="A328" s="58" t="s">
        <v>439</v>
      </c>
      <c r="B328" s="44"/>
      <c r="C328" s="147" t="s">
        <v>491</v>
      </c>
      <c r="D328" s="94" t="s">
        <v>1002</v>
      </c>
      <c r="E328" s="87"/>
      <c r="F328" s="88">
        <f>0.255*20*1</f>
        <v>5.0999999999999996</v>
      </c>
      <c r="G328" s="97">
        <v>1</v>
      </c>
      <c r="H328" s="144"/>
      <c r="J328" s="34"/>
      <c r="AQ328" s="123"/>
    </row>
    <row r="329" spans="1:43" s="122" customFormat="1" ht="13.8">
      <c r="A329" s="58" t="s">
        <v>440</v>
      </c>
      <c r="B329" s="44"/>
      <c r="C329" s="147" t="s">
        <v>219</v>
      </c>
      <c r="D329" s="94" t="s">
        <v>1002</v>
      </c>
      <c r="E329" s="87"/>
      <c r="F329" s="88">
        <f>0.255*20*1</f>
        <v>5.0999999999999996</v>
      </c>
      <c r="G329" s="97">
        <v>1</v>
      </c>
      <c r="H329" s="144"/>
      <c r="J329" s="34"/>
      <c r="AQ329" s="123"/>
    </row>
    <row r="330" spans="1:43" s="122" customFormat="1" ht="13.8">
      <c r="A330" s="58" t="s">
        <v>441</v>
      </c>
      <c r="B330" s="44"/>
      <c r="C330" s="147" t="s">
        <v>221</v>
      </c>
      <c r="D330" s="94" t="s">
        <v>1002</v>
      </c>
      <c r="E330" s="87"/>
      <c r="F330" s="88">
        <f>0.255*20*1</f>
        <v>5.0999999999999996</v>
      </c>
      <c r="G330" s="97">
        <v>1</v>
      </c>
      <c r="H330" s="144"/>
      <c r="J330" s="34"/>
      <c r="AQ330" s="123"/>
    </row>
    <row r="331" spans="1:43" s="122" customFormat="1" ht="13.8">
      <c r="A331" s="58" t="s">
        <v>442</v>
      </c>
      <c r="B331" s="44"/>
      <c r="C331" s="147"/>
      <c r="D331" s="94"/>
      <c r="E331" s="87"/>
      <c r="F331" s="88"/>
      <c r="G331" s="97"/>
      <c r="H331" s="144"/>
      <c r="J331" s="34"/>
      <c r="AQ331" s="123"/>
    </row>
    <row r="332" spans="1:43" s="122" customFormat="1" ht="13.8">
      <c r="A332" s="58" t="s">
        <v>443</v>
      </c>
      <c r="B332" s="44"/>
      <c r="C332" s="141" t="s">
        <v>962</v>
      </c>
      <c r="D332" s="143" t="s">
        <v>1395</v>
      </c>
      <c r="E332" s="87"/>
      <c r="F332" s="88"/>
      <c r="G332" s="97"/>
      <c r="H332" s="144"/>
      <c r="J332" s="34"/>
      <c r="AQ332" s="123"/>
    </row>
    <row r="333" spans="1:43" s="122" customFormat="1" ht="13.8">
      <c r="A333" s="58" t="s">
        <v>444</v>
      </c>
      <c r="B333" s="44"/>
      <c r="C333" s="147" t="s">
        <v>556</v>
      </c>
      <c r="D333" s="94" t="s">
        <v>999</v>
      </c>
      <c r="E333" s="87"/>
      <c r="F333" s="88">
        <f t="shared" ref="F333:F339" si="8">0.255*16*1</f>
        <v>4.08</v>
      </c>
      <c r="G333" s="97">
        <v>1</v>
      </c>
      <c r="H333" s="144"/>
      <c r="J333" s="34"/>
      <c r="AQ333" s="123"/>
    </row>
    <row r="334" spans="1:43" s="122" customFormat="1" ht="13.8">
      <c r="A334" s="58" t="s">
        <v>446</v>
      </c>
      <c r="B334" s="44"/>
      <c r="C334" s="147" t="s">
        <v>558</v>
      </c>
      <c r="D334" s="94" t="s">
        <v>999</v>
      </c>
      <c r="E334" s="87"/>
      <c r="F334" s="88">
        <f t="shared" si="8"/>
        <v>4.08</v>
      </c>
      <c r="G334" s="97">
        <v>1</v>
      </c>
      <c r="H334" s="144"/>
      <c r="J334" s="34"/>
      <c r="AQ334" s="123"/>
    </row>
    <row r="335" spans="1:43" s="122" customFormat="1" ht="13.8">
      <c r="A335" s="58" t="s">
        <v>447</v>
      </c>
      <c r="B335" s="44"/>
      <c r="C335" s="147" t="s">
        <v>560</v>
      </c>
      <c r="D335" s="94" t="s">
        <v>999</v>
      </c>
      <c r="E335" s="87"/>
      <c r="F335" s="88">
        <f t="shared" si="8"/>
        <v>4.08</v>
      </c>
      <c r="G335" s="97">
        <v>1</v>
      </c>
      <c r="H335" s="144"/>
      <c r="J335" s="34"/>
      <c r="AQ335" s="123"/>
    </row>
    <row r="336" spans="1:43" s="122" customFormat="1" ht="13.8">
      <c r="A336" s="58" t="s">
        <v>448</v>
      </c>
      <c r="B336" s="44"/>
      <c r="C336" s="147" t="s">
        <v>562</v>
      </c>
      <c r="D336" s="94" t="s">
        <v>999</v>
      </c>
      <c r="E336" s="87"/>
      <c r="F336" s="88">
        <f t="shared" si="8"/>
        <v>4.08</v>
      </c>
      <c r="G336" s="97">
        <v>1</v>
      </c>
      <c r="H336" s="144"/>
      <c r="J336" s="34"/>
      <c r="AQ336" s="123"/>
    </row>
    <row r="337" spans="1:43" s="122" customFormat="1" ht="13.8">
      <c r="A337" s="58" t="s">
        <v>449</v>
      </c>
      <c r="B337" s="44"/>
      <c r="C337" s="147" t="s">
        <v>1025</v>
      </c>
      <c r="D337" s="94" t="s">
        <v>999</v>
      </c>
      <c r="E337" s="87"/>
      <c r="F337" s="88">
        <f t="shared" si="8"/>
        <v>4.08</v>
      </c>
      <c r="G337" s="97">
        <v>1</v>
      </c>
      <c r="H337" s="144"/>
      <c r="J337" s="34"/>
      <c r="AQ337" s="123"/>
    </row>
    <row r="338" spans="1:43" s="122" customFormat="1" ht="13.8">
      <c r="A338" s="58" t="s">
        <v>451</v>
      </c>
      <c r="B338" s="44"/>
      <c r="C338" s="147" t="s">
        <v>565</v>
      </c>
      <c r="D338" s="94" t="s">
        <v>999</v>
      </c>
      <c r="E338" s="87"/>
      <c r="F338" s="88">
        <f t="shared" si="8"/>
        <v>4.08</v>
      </c>
      <c r="G338" s="97">
        <v>1</v>
      </c>
      <c r="H338" s="144"/>
      <c r="J338" s="34"/>
      <c r="AQ338" s="123"/>
    </row>
    <row r="339" spans="1:43" s="122" customFormat="1" ht="13.8">
      <c r="A339" s="58" t="s">
        <v>452</v>
      </c>
      <c r="B339" s="44"/>
      <c r="C339" s="147" t="s">
        <v>567</v>
      </c>
      <c r="D339" s="94" t="s">
        <v>999</v>
      </c>
      <c r="E339" s="87"/>
      <c r="F339" s="88">
        <f t="shared" si="8"/>
        <v>4.08</v>
      </c>
      <c r="G339" s="97">
        <v>1</v>
      </c>
      <c r="H339" s="144"/>
      <c r="J339" s="34"/>
      <c r="AQ339" s="123"/>
    </row>
    <row r="340" spans="1:43" s="122" customFormat="1" ht="13.8">
      <c r="A340" s="58" t="s">
        <v>453</v>
      </c>
      <c r="B340" s="44"/>
      <c r="C340" s="147" t="s">
        <v>371</v>
      </c>
      <c r="D340" s="19" t="s">
        <v>1021</v>
      </c>
      <c r="E340" s="87"/>
      <c r="F340" s="88">
        <f>0.255*19*1</f>
        <v>4.8449999999999998</v>
      </c>
      <c r="G340" s="97">
        <v>1</v>
      </c>
      <c r="H340" s="144"/>
      <c r="J340" s="34"/>
      <c r="AQ340" s="123"/>
    </row>
    <row r="341" spans="1:43" s="122" customFormat="1" ht="13.8">
      <c r="A341" s="58" t="s">
        <v>454</v>
      </c>
      <c r="B341" s="44"/>
      <c r="C341" s="147" t="s">
        <v>373</v>
      </c>
      <c r="D341" s="19" t="s">
        <v>987</v>
      </c>
      <c r="E341" s="87"/>
      <c r="F341" s="88">
        <f>0.255*18*1</f>
        <v>4.59</v>
      </c>
      <c r="G341" s="97">
        <v>1</v>
      </c>
      <c r="H341" s="144"/>
      <c r="J341" s="34"/>
      <c r="AQ341" s="123"/>
    </row>
    <row r="342" spans="1:43" s="122" customFormat="1" ht="13.8">
      <c r="A342" s="58" t="s">
        <v>455</v>
      </c>
      <c r="B342" s="44"/>
      <c r="C342" s="147" t="s">
        <v>374</v>
      </c>
      <c r="D342" s="94" t="s">
        <v>265</v>
      </c>
      <c r="E342" s="87"/>
      <c r="F342" s="88">
        <f>0.255*20*2</f>
        <v>10.199999999999999</v>
      </c>
      <c r="G342" s="97">
        <v>2</v>
      </c>
      <c r="H342" s="144"/>
      <c r="J342" s="34"/>
      <c r="AQ342" s="123"/>
    </row>
    <row r="343" spans="1:43" s="122" customFormat="1" ht="13.8">
      <c r="A343" s="58" t="s">
        <v>456</v>
      </c>
      <c r="B343" s="44"/>
      <c r="C343" s="147"/>
      <c r="D343" s="94"/>
      <c r="E343" s="87"/>
      <c r="F343" s="88"/>
      <c r="G343" s="97"/>
      <c r="H343" s="144"/>
      <c r="J343" s="34"/>
      <c r="AQ343" s="123"/>
    </row>
    <row r="344" spans="1:43" s="122" customFormat="1" ht="13.8">
      <c r="A344" s="58" t="s">
        <v>457</v>
      </c>
      <c r="B344" s="44"/>
      <c r="C344" s="141" t="s">
        <v>962</v>
      </c>
      <c r="D344" s="143" t="s">
        <v>1396</v>
      </c>
      <c r="E344" s="87"/>
      <c r="F344" s="88"/>
      <c r="G344" s="97"/>
      <c r="H344" s="144"/>
      <c r="J344" s="34"/>
      <c r="AQ344" s="123"/>
    </row>
    <row r="345" spans="1:43" s="122" customFormat="1" ht="13.8">
      <c r="A345" s="58" t="s">
        <v>458</v>
      </c>
      <c r="B345" s="44"/>
      <c r="C345" s="147" t="s">
        <v>506</v>
      </c>
      <c r="D345" s="94" t="s">
        <v>1026</v>
      </c>
      <c r="E345" s="87"/>
      <c r="F345" s="88">
        <f>0.255*25*1</f>
        <v>6.375</v>
      </c>
      <c r="G345" s="97">
        <v>1</v>
      </c>
      <c r="H345" s="144"/>
      <c r="J345" s="34"/>
      <c r="AQ345" s="123"/>
    </row>
    <row r="346" spans="1:43" s="122" customFormat="1" ht="13.8">
      <c r="A346" s="58" t="s">
        <v>460</v>
      </c>
      <c r="B346" s="44"/>
      <c r="C346" s="147" t="s">
        <v>507</v>
      </c>
      <c r="D346" s="94" t="s">
        <v>1026</v>
      </c>
      <c r="E346" s="87"/>
      <c r="F346" s="88">
        <f>0.255*25*1</f>
        <v>6.375</v>
      </c>
      <c r="G346" s="97">
        <v>1</v>
      </c>
      <c r="H346" s="144"/>
      <c r="J346" s="34"/>
      <c r="AQ346" s="123"/>
    </row>
    <row r="347" spans="1:43" s="122" customFormat="1" ht="13.8">
      <c r="A347" s="58" t="s">
        <v>461</v>
      </c>
      <c r="B347" s="44"/>
      <c r="C347" s="147" t="s">
        <v>508</v>
      </c>
      <c r="D347" s="94" t="s">
        <v>1026</v>
      </c>
      <c r="E347" s="87"/>
      <c r="F347" s="88">
        <f>0.255*25*1</f>
        <v>6.375</v>
      </c>
      <c r="G347" s="97">
        <v>1</v>
      </c>
      <c r="H347" s="144"/>
      <c r="J347" s="34"/>
      <c r="AQ347" s="123"/>
    </row>
    <row r="348" spans="1:43" s="122" customFormat="1" ht="13.8">
      <c r="A348" s="58" t="s">
        <v>463</v>
      </c>
      <c r="B348" s="44"/>
      <c r="C348" s="147" t="s">
        <v>508</v>
      </c>
      <c r="D348" s="94" t="s">
        <v>1027</v>
      </c>
      <c r="E348" s="87"/>
      <c r="F348" s="88">
        <f>0.255*23*1</f>
        <v>5.8650000000000002</v>
      </c>
      <c r="G348" s="97">
        <v>1</v>
      </c>
      <c r="H348" s="144"/>
      <c r="J348" s="34"/>
      <c r="AQ348" s="123"/>
    </row>
    <row r="349" spans="1:43" s="122" customFormat="1" ht="13.8">
      <c r="A349" s="58" t="s">
        <v>464</v>
      </c>
      <c r="B349" s="44"/>
      <c r="C349" s="147" t="s">
        <v>509</v>
      </c>
      <c r="D349" s="94" t="s">
        <v>1029</v>
      </c>
      <c r="E349" s="87"/>
      <c r="F349" s="88">
        <f>0.255*23*2</f>
        <v>11.73</v>
      </c>
      <c r="G349" s="97">
        <v>2</v>
      </c>
      <c r="H349" s="144"/>
      <c r="J349" s="34"/>
      <c r="AQ349" s="123"/>
    </row>
    <row r="350" spans="1:43" s="122" customFormat="1" ht="13.8">
      <c r="A350" s="58" t="s">
        <v>466</v>
      </c>
      <c r="B350" s="44"/>
      <c r="C350" s="147" t="s">
        <v>510</v>
      </c>
      <c r="D350" s="94" t="s">
        <v>1028</v>
      </c>
      <c r="E350" s="87"/>
      <c r="F350" s="88">
        <f>0.255*26*2</f>
        <v>13.26</v>
      </c>
      <c r="G350" s="97">
        <v>2</v>
      </c>
      <c r="H350" s="144"/>
      <c r="J350" s="34"/>
      <c r="AQ350" s="123"/>
    </row>
    <row r="351" spans="1:43" s="122" customFormat="1" ht="13.8">
      <c r="A351" s="58" t="s">
        <v>468</v>
      </c>
      <c r="B351" s="44"/>
      <c r="C351" s="147" t="s">
        <v>511</v>
      </c>
      <c r="D351" s="94" t="s">
        <v>1029</v>
      </c>
      <c r="E351" s="87"/>
      <c r="F351" s="88">
        <f>0.255*23*2</f>
        <v>11.73</v>
      </c>
      <c r="G351" s="97">
        <v>2</v>
      </c>
      <c r="H351" s="144"/>
      <c r="J351" s="34"/>
      <c r="AQ351" s="123"/>
    </row>
    <row r="352" spans="1:43" s="122" customFormat="1" ht="13.8">
      <c r="A352" s="58" t="s">
        <v>470</v>
      </c>
      <c r="B352" s="44"/>
      <c r="C352" s="147" t="s">
        <v>512</v>
      </c>
      <c r="D352" s="94" t="s">
        <v>1106</v>
      </c>
      <c r="E352" s="87"/>
      <c r="F352" s="88">
        <f>0.255*28*1</f>
        <v>7.1400000000000006</v>
      </c>
      <c r="G352" s="97">
        <v>1</v>
      </c>
      <c r="H352" s="144"/>
      <c r="J352" s="34"/>
      <c r="AQ352" s="123"/>
    </row>
    <row r="353" spans="1:43" s="122" customFormat="1" ht="13.8">
      <c r="A353" s="58" t="s">
        <v>472</v>
      </c>
      <c r="B353" s="44"/>
      <c r="C353" s="147" t="s">
        <v>512</v>
      </c>
      <c r="D353" s="94" t="s">
        <v>1107</v>
      </c>
      <c r="E353" s="87"/>
      <c r="F353" s="88">
        <f>0.255*11*1</f>
        <v>2.8050000000000002</v>
      </c>
      <c r="G353" s="97">
        <v>1</v>
      </c>
      <c r="H353" s="144"/>
      <c r="J353" s="34"/>
      <c r="AQ353" s="123"/>
    </row>
    <row r="354" spans="1:43" s="122" customFormat="1" ht="13.8">
      <c r="A354" s="58" t="s">
        <v>474</v>
      </c>
      <c r="B354" s="44"/>
      <c r="C354" s="147"/>
      <c r="D354" s="94"/>
      <c r="E354" s="87"/>
      <c r="F354" s="88"/>
      <c r="G354" s="97"/>
      <c r="H354" s="144"/>
      <c r="J354" s="34"/>
      <c r="AQ354" s="123"/>
    </row>
    <row r="355" spans="1:43" s="122" customFormat="1" ht="13.8">
      <c r="A355" s="58" t="s">
        <v>476</v>
      </c>
      <c r="B355" s="44"/>
      <c r="C355" s="145"/>
      <c r="D355" s="140" t="s">
        <v>1030</v>
      </c>
      <c r="E355" s="87"/>
      <c r="F355" s="88"/>
      <c r="G355" s="97"/>
      <c r="H355" s="144"/>
      <c r="J355" s="34"/>
      <c r="AQ355" s="123"/>
    </row>
    <row r="356" spans="1:43" s="122" customFormat="1" ht="13.8">
      <c r="A356" s="58" t="s">
        <v>478</v>
      </c>
      <c r="B356" s="44"/>
      <c r="C356" s="145"/>
      <c r="D356" s="107" t="s">
        <v>1397</v>
      </c>
      <c r="E356" s="47" t="s">
        <v>41</v>
      </c>
      <c r="F356" s="49">
        <f>SUM(F358:F386)</f>
        <v>174.25</v>
      </c>
      <c r="G356" s="97"/>
      <c r="H356" s="144"/>
      <c r="J356" s="34"/>
      <c r="AQ356" s="123"/>
    </row>
    <row r="357" spans="1:43" s="122" customFormat="1" ht="13.8">
      <c r="A357" s="58" t="s">
        <v>480</v>
      </c>
      <c r="B357" s="44"/>
      <c r="C357" s="141" t="s">
        <v>962</v>
      </c>
      <c r="D357" s="143" t="s">
        <v>1398</v>
      </c>
      <c r="E357" s="87"/>
      <c r="F357" s="88"/>
      <c r="G357" s="97"/>
      <c r="H357" s="144"/>
      <c r="J357" s="34"/>
      <c r="AQ357" s="123"/>
    </row>
    <row r="358" spans="1:43" s="122" customFormat="1" ht="13.8">
      <c r="A358" s="58" t="s">
        <v>482</v>
      </c>
      <c r="B358" s="44"/>
      <c r="C358" s="147" t="s">
        <v>237</v>
      </c>
      <c r="D358" s="94" t="s">
        <v>1032</v>
      </c>
      <c r="E358" s="87"/>
      <c r="F358" s="88">
        <f>0.205*13*1</f>
        <v>2.665</v>
      </c>
      <c r="G358" s="97">
        <v>1</v>
      </c>
      <c r="H358" s="144"/>
      <c r="J358" s="34"/>
      <c r="AQ358" s="123"/>
    </row>
    <row r="359" spans="1:43" s="122" customFormat="1" ht="13.8">
      <c r="A359" s="58" t="s">
        <v>484</v>
      </c>
      <c r="B359" s="44"/>
      <c r="C359" s="147" t="s">
        <v>239</v>
      </c>
      <c r="D359" s="94" t="s">
        <v>1033</v>
      </c>
      <c r="E359" s="87"/>
      <c r="F359" s="88">
        <f>0.205*12*1</f>
        <v>2.46</v>
      </c>
      <c r="G359" s="97">
        <v>1</v>
      </c>
      <c r="H359" s="144"/>
      <c r="J359" s="34"/>
      <c r="AQ359" s="123"/>
    </row>
    <row r="360" spans="1:43" s="122" customFormat="1" ht="13.8">
      <c r="A360" s="58" t="s">
        <v>486</v>
      </c>
      <c r="B360" s="44"/>
      <c r="C360" s="147" t="s">
        <v>1031</v>
      </c>
      <c r="D360" s="94" t="s">
        <v>1034</v>
      </c>
      <c r="E360" s="87"/>
      <c r="F360" s="88">
        <f>0.205*8*1</f>
        <v>1.64</v>
      </c>
      <c r="G360" s="97">
        <v>1</v>
      </c>
      <c r="H360" s="144"/>
      <c r="J360" s="34"/>
      <c r="AQ360" s="123"/>
    </row>
    <row r="361" spans="1:43" s="122" customFormat="1" ht="13.8">
      <c r="A361" s="58" t="s">
        <v>488</v>
      </c>
      <c r="B361" s="44"/>
      <c r="C361" s="147" t="s">
        <v>165</v>
      </c>
      <c r="D361" s="94" t="s">
        <v>1035</v>
      </c>
      <c r="E361" s="87"/>
      <c r="F361" s="88">
        <f>0.205*5*1</f>
        <v>1.0249999999999999</v>
      </c>
      <c r="G361" s="97">
        <v>1</v>
      </c>
      <c r="H361" s="144"/>
      <c r="J361" s="34"/>
      <c r="AQ361" s="123"/>
    </row>
    <row r="362" spans="1:43" s="122" customFormat="1" ht="13.8">
      <c r="A362" s="58" t="s">
        <v>490</v>
      </c>
      <c r="B362" s="44"/>
      <c r="C362" s="147" t="s">
        <v>171</v>
      </c>
      <c r="D362" s="94" t="s">
        <v>1035</v>
      </c>
      <c r="E362" s="87"/>
      <c r="F362" s="88">
        <f>0.205*5*1</f>
        <v>1.0249999999999999</v>
      </c>
      <c r="G362" s="97">
        <v>1</v>
      </c>
      <c r="H362" s="144"/>
      <c r="J362" s="34"/>
      <c r="AQ362" s="123"/>
    </row>
    <row r="363" spans="1:43" s="122" customFormat="1" ht="13.8">
      <c r="A363" s="58" t="s">
        <v>492</v>
      </c>
      <c r="B363" s="44"/>
      <c r="C363" s="147" t="s">
        <v>235</v>
      </c>
      <c r="D363" s="94" t="s">
        <v>1034</v>
      </c>
      <c r="E363" s="87"/>
      <c r="F363" s="88">
        <f>0.205*8*1</f>
        <v>1.64</v>
      </c>
      <c r="G363" s="97">
        <v>1</v>
      </c>
      <c r="H363" s="144"/>
      <c r="J363" s="34"/>
      <c r="AQ363" s="123"/>
    </row>
    <row r="364" spans="1:43" s="122" customFormat="1" ht="13.8">
      <c r="A364" s="58" t="s">
        <v>493</v>
      </c>
      <c r="B364" s="44"/>
      <c r="C364" s="147"/>
      <c r="D364" s="94"/>
      <c r="E364" s="87"/>
      <c r="F364" s="88"/>
      <c r="G364" s="97"/>
      <c r="H364" s="144"/>
      <c r="J364" s="34"/>
      <c r="AQ364" s="123"/>
    </row>
    <row r="365" spans="1:43" s="122" customFormat="1" ht="13.8">
      <c r="A365" s="58" t="s">
        <v>494</v>
      </c>
      <c r="B365" s="44"/>
      <c r="C365" s="141" t="s">
        <v>962</v>
      </c>
      <c r="D365" s="143" t="s">
        <v>1399</v>
      </c>
      <c r="E365" s="87"/>
      <c r="F365" s="88"/>
      <c r="G365" s="97"/>
      <c r="H365" s="144"/>
      <c r="J365" s="34"/>
      <c r="AQ365" s="123"/>
    </row>
    <row r="366" spans="1:43" s="122" customFormat="1" ht="13.8">
      <c r="A366" s="58" t="s">
        <v>495</v>
      </c>
      <c r="B366" s="44"/>
      <c r="C366" s="147" t="s">
        <v>984</v>
      </c>
      <c r="D366" s="129" t="s">
        <v>1036</v>
      </c>
      <c r="E366" s="87"/>
      <c r="F366" s="88">
        <f>0.44*18*1</f>
        <v>7.92</v>
      </c>
      <c r="G366" s="97">
        <v>1</v>
      </c>
      <c r="H366" s="144"/>
      <c r="J366" s="34"/>
      <c r="AQ366" s="123"/>
    </row>
    <row r="367" spans="1:43" s="122" customFormat="1" ht="13.8">
      <c r="A367" s="58" t="s">
        <v>496</v>
      </c>
      <c r="B367" s="44"/>
      <c r="C367" s="147" t="s">
        <v>1037</v>
      </c>
      <c r="D367" s="129" t="s">
        <v>1038</v>
      </c>
      <c r="E367" s="87"/>
      <c r="F367" s="88">
        <f>0.44*19*1</f>
        <v>8.36</v>
      </c>
      <c r="G367" s="97">
        <v>1</v>
      </c>
      <c r="H367" s="144"/>
      <c r="J367" s="34"/>
      <c r="AQ367" s="123"/>
    </row>
    <row r="368" spans="1:43" s="122" customFormat="1" ht="13.8">
      <c r="A368" s="58" t="s">
        <v>497</v>
      </c>
      <c r="B368" s="44"/>
      <c r="C368" s="147" t="s">
        <v>275</v>
      </c>
      <c r="D368" s="94" t="s">
        <v>1002</v>
      </c>
      <c r="E368" s="87"/>
      <c r="F368" s="88">
        <f>0.255*20*1</f>
        <v>5.0999999999999996</v>
      </c>
      <c r="G368" s="97">
        <v>1</v>
      </c>
      <c r="H368" s="144"/>
      <c r="J368" s="34"/>
      <c r="AQ368" s="123"/>
    </row>
    <row r="369" spans="1:43" s="122" customFormat="1" ht="13.8">
      <c r="A369" s="58" t="s">
        <v>498</v>
      </c>
      <c r="B369" s="44"/>
      <c r="C369" s="147" t="s">
        <v>275</v>
      </c>
      <c r="D369" s="94" t="s">
        <v>1039</v>
      </c>
      <c r="E369" s="87"/>
      <c r="F369" s="88"/>
      <c r="G369" s="97"/>
      <c r="H369" s="144"/>
      <c r="J369" s="34"/>
      <c r="AQ369" s="123"/>
    </row>
    <row r="370" spans="1:43" s="122" customFormat="1" ht="13.8">
      <c r="A370" s="58" t="s">
        <v>499</v>
      </c>
      <c r="B370" s="44"/>
      <c r="C370" s="147"/>
      <c r="D370" s="94"/>
      <c r="E370" s="87"/>
      <c r="F370" s="88"/>
      <c r="G370" s="97"/>
      <c r="H370" s="144"/>
      <c r="J370" s="34"/>
      <c r="AQ370" s="123"/>
    </row>
    <row r="371" spans="1:43" s="122" customFormat="1" ht="13.8">
      <c r="A371" s="58" t="s">
        <v>500</v>
      </c>
      <c r="B371" s="44"/>
      <c r="C371" s="141" t="s">
        <v>962</v>
      </c>
      <c r="D371" s="143" t="s">
        <v>1400</v>
      </c>
      <c r="E371" s="87"/>
      <c r="F371" s="88"/>
      <c r="G371" s="97"/>
      <c r="H371" s="144"/>
      <c r="J371" s="34"/>
      <c r="AQ371" s="123"/>
    </row>
    <row r="372" spans="1:43" s="122" customFormat="1" ht="13.8">
      <c r="A372" s="58" t="s">
        <v>501</v>
      </c>
      <c r="B372" s="44"/>
      <c r="C372" s="147" t="s">
        <v>232</v>
      </c>
      <c r="D372" s="94" t="s">
        <v>997</v>
      </c>
      <c r="E372" s="87"/>
      <c r="F372" s="88">
        <f>0.255*22*1</f>
        <v>5.61</v>
      </c>
      <c r="G372" s="97">
        <v>1</v>
      </c>
      <c r="H372" s="144"/>
      <c r="J372" s="34"/>
      <c r="AQ372" s="123"/>
    </row>
    <row r="373" spans="1:43" s="122" customFormat="1" ht="13.8">
      <c r="A373" s="58" t="s">
        <v>502</v>
      </c>
      <c r="B373" s="44"/>
      <c r="C373" s="147"/>
      <c r="D373" s="129" t="s">
        <v>1040</v>
      </c>
      <c r="E373" s="87"/>
      <c r="F373" s="88">
        <f>0.44*25*1</f>
        <v>11</v>
      </c>
      <c r="G373" s="97">
        <v>1</v>
      </c>
      <c r="H373" s="144"/>
      <c r="J373" s="34"/>
      <c r="AQ373" s="123"/>
    </row>
    <row r="374" spans="1:43" s="122" customFormat="1" ht="13.8">
      <c r="A374" s="58" t="s">
        <v>503</v>
      </c>
      <c r="B374" s="44"/>
      <c r="C374" s="147"/>
      <c r="D374" s="129" t="s">
        <v>1041</v>
      </c>
      <c r="E374" s="87"/>
      <c r="F374" s="88">
        <f>0.44*20*4</f>
        <v>35.200000000000003</v>
      </c>
      <c r="G374" s="97">
        <v>4</v>
      </c>
      <c r="H374" s="144"/>
      <c r="J374" s="34"/>
      <c r="AQ374" s="123"/>
    </row>
    <row r="375" spans="1:43" s="122" customFormat="1" ht="13.8">
      <c r="A375" s="58" t="s">
        <v>504</v>
      </c>
      <c r="B375" s="44"/>
      <c r="C375" s="147"/>
      <c r="D375" s="94"/>
      <c r="E375" s="87"/>
      <c r="F375" s="88"/>
      <c r="G375" s="97"/>
      <c r="H375" s="144"/>
      <c r="J375" s="34"/>
      <c r="AQ375" s="123"/>
    </row>
    <row r="376" spans="1:43" s="122" customFormat="1" ht="13.8">
      <c r="A376" s="58" t="s">
        <v>505</v>
      </c>
      <c r="B376" s="44"/>
      <c r="C376" s="141" t="s">
        <v>962</v>
      </c>
      <c r="D376" s="143" t="s">
        <v>1401</v>
      </c>
      <c r="E376" s="87"/>
      <c r="F376" s="88"/>
      <c r="G376" s="97"/>
      <c r="H376" s="144"/>
      <c r="J376" s="34"/>
      <c r="AQ376" s="123"/>
    </row>
    <row r="377" spans="1:43" s="122" customFormat="1" ht="13.8">
      <c r="A377" s="58" t="s">
        <v>506</v>
      </c>
      <c r="B377" s="44"/>
      <c r="C377" s="147" t="s">
        <v>1042</v>
      </c>
      <c r="D377" s="94" t="s">
        <v>1043</v>
      </c>
      <c r="E377" s="87"/>
      <c r="F377" s="88">
        <f>0.255*14*1</f>
        <v>3.5700000000000003</v>
      </c>
      <c r="G377" s="97">
        <v>1</v>
      </c>
      <c r="H377" s="144"/>
      <c r="J377" s="34"/>
      <c r="AQ377" s="123"/>
    </row>
    <row r="378" spans="1:43" s="122" customFormat="1" ht="13.8">
      <c r="A378" s="58" t="s">
        <v>507</v>
      </c>
      <c r="B378" s="44"/>
      <c r="C378" s="147" t="s">
        <v>1042</v>
      </c>
      <c r="D378" s="129" t="s">
        <v>243</v>
      </c>
      <c r="E378" s="87"/>
      <c r="F378" s="88">
        <f>0.44*10*1</f>
        <v>4.4000000000000004</v>
      </c>
      <c r="G378" s="97">
        <v>1</v>
      </c>
      <c r="H378" s="144"/>
      <c r="J378" s="34"/>
      <c r="AQ378" s="123"/>
    </row>
    <row r="379" spans="1:43" s="122" customFormat="1" ht="13.8">
      <c r="A379" s="58" t="s">
        <v>508</v>
      </c>
      <c r="B379" s="44"/>
      <c r="C379" s="147"/>
      <c r="D379" s="94"/>
      <c r="E379" s="87"/>
      <c r="F379" s="88"/>
      <c r="G379" s="97"/>
      <c r="H379" s="144"/>
      <c r="J379" s="34"/>
      <c r="AQ379" s="123"/>
    </row>
    <row r="380" spans="1:43" s="122" customFormat="1" ht="13.8">
      <c r="A380" s="58" t="s">
        <v>509</v>
      </c>
      <c r="B380" s="44"/>
      <c r="C380" s="141" t="s">
        <v>962</v>
      </c>
      <c r="D380" s="143" t="s">
        <v>1402</v>
      </c>
      <c r="E380" s="87"/>
      <c r="F380" s="88"/>
      <c r="G380" s="97"/>
      <c r="H380" s="144"/>
      <c r="J380" s="34"/>
      <c r="AQ380" s="123"/>
    </row>
    <row r="381" spans="1:43" s="122" customFormat="1" ht="13.8">
      <c r="A381" s="58" t="s">
        <v>510</v>
      </c>
      <c r="B381" s="44"/>
      <c r="C381" s="147" t="s">
        <v>526</v>
      </c>
      <c r="D381" s="94" t="s">
        <v>1002</v>
      </c>
      <c r="E381" s="87"/>
      <c r="F381" s="88">
        <f>0.255*20*1</f>
        <v>5.0999999999999996</v>
      </c>
      <c r="G381" s="97">
        <v>1</v>
      </c>
      <c r="H381" s="144"/>
      <c r="J381" s="34"/>
      <c r="AQ381" s="123"/>
    </row>
    <row r="382" spans="1:43" s="122" customFormat="1" ht="13.8">
      <c r="A382" s="58" t="s">
        <v>511</v>
      </c>
      <c r="B382" s="44"/>
      <c r="C382" s="147" t="s">
        <v>448</v>
      </c>
      <c r="D382" s="94" t="s">
        <v>990</v>
      </c>
      <c r="E382" s="87"/>
      <c r="F382" s="88">
        <f>0.255*17*1</f>
        <v>4.335</v>
      </c>
      <c r="G382" s="97">
        <v>1</v>
      </c>
      <c r="H382" s="144"/>
      <c r="J382" s="34"/>
      <c r="AQ382" s="123"/>
    </row>
    <row r="383" spans="1:43" s="122" customFormat="1" ht="13.8">
      <c r="A383" s="58" t="s">
        <v>512</v>
      </c>
      <c r="B383" s="44"/>
      <c r="C383" s="147" t="s">
        <v>449</v>
      </c>
      <c r="D383" s="94" t="s">
        <v>1002</v>
      </c>
      <c r="E383" s="87"/>
      <c r="F383" s="88">
        <f>0.255*20*1</f>
        <v>5.0999999999999996</v>
      </c>
      <c r="G383" s="97">
        <v>1</v>
      </c>
      <c r="H383" s="144"/>
      <c r="J383" s="34"/>
      <c r="AQ383" s="123"/>
    </row>
    <row r="384" spans="1:43" s="122" customFormat="1" ht="13.8">
      <c r="A384" s="58" t="s">
        <v>513</v>
      </c>
      <c r="B384" s="44"/>
      <c r="C384" s="147" t="s">
        <v>447</v>
      </c>
      <c r="D384" s="129" t="s">
        <v>1045</v>
      </c>
      <c r="E384" s="87"/>
      <c r="F384" s="88">
        <f>0.44*20*3</f>
        <v>26.400000000000002</v>
      </c>
      <c r="G384" s="97">
        <v>3</v>
      </c>
      <c r="H384" s="144"/>
      <c r="J384" s="34"/>
      <c r="AQ384" s="123"/>
    </row>
    <row r="385" spans="1:43" s="122" customFormat="1" ht="13.8">
      <c r="A385" s="58" t="s">
        <v>514</v>
      </c>
      <c r="B385" s="44"/>
      <c r="C385" s="147" t="s">
        <v>449</v>
      </c>
      <c r="D385" s="94" t="s">
        <v>1046</v>
      </c>
      <c r="E385" s="87"/>
      <c r="F385" s="88">
        <f>0.255*20*3</f>
        <v>15.299999999999999</v>
      </c>
      <c r="G385" s="97">
        <v>3</v>
      </c>
      <c r="H385" s="144"/>
      <c r="J385" s="34"/>
      <c r="AQ385" s="123"/>
    </row>
    <row r="386" spans="1:43" s="122" customFormat="1" ht="13.8">
      <c r="A386" s="58" t="s">
        <v>515</v>
      </c>
      <c r="B386" s="44"/>
      <c r="C386" s="147" t="s">
        <v>449</v>
      </c>
      <c r="D386" s="94" t="s">
        <v>1322</v>
      </c>
      <c r="E386" s="87"/>
      <c r="F386" s="88">
        <f>0.44*20*G386</f>
        <v>26.400000000000002</v>
      </c>
      <c r="G386" s="97">
        <v>3</v>
      </c>
      <c r="H386" s="144"/>
      <c r="J386" s="34"/>
      <c r="AQ386" s="123"/>
    </row>
    <row r="387" spans="1:43" s="122" customFormat="1" ht="13.8">
      <c r="A387" s="58" t="s">
        <v>516</v>
      </c>
      <c r="B387" s="44"/>
      <c r="C387" s="147"/>
      <c r="D387" s="94"/>
      <c r="E387" s="87"/>
      <c r="F387" s="88"/>
      <c r="G387" s="97"/>
      <c r="H387" s="144"/>
      <c r="J387" s="34"/>
      <c r="AQ387" s="123"/>
    </row>
    <row r="388" spans="1:43" s="122" customFormat="1" ht="13.8">
      <c r="A388" s="58" t="s">
        <v>517</v>
      </c>
      <c r="B388" s="44"/>
      <c r="C388" s="145"/>
      <c r="D388" s="140" t="s">
        <v>1047</v>
      </c>
      <c r="E388" s="87"/>
      <c r="F388" s="88"/>
      <c r="G388" s="97"/>
      <c r="H388" s="144"/>
      <c r="J388" s="34"/>
      <c r="AQ388" s="123"/>
    </row>
    <row r="389" spans="1:43" s="122" customFormat="1" ht="13.8">
      <c r="A389" s="58" t="s">
        <v>518</v>
      </c>
      <c r="B389" s="44"/>
      <c r="C389" s="145"/>
      <c r="D389" s="107" t="s">
        <v>1403</v>
      </c>
      <c r="E389" s="47" t="s">
        <v>41</v>
      </c>
      <c r="F389" s="49">
        <f>SUM(F391:F416)</f>
        <v>124.43000000000002</v>
      </c>
      <c r="G389" s="97"/>
      <c r="H389" s="144"/>
      <c r="J389" s="34"/>
      <c r="AQ389" s="123"/>
    </row>
    <row r="390" spans="1:43" s="122" customFormat="1" ht="13.8">
      <c r="A390" s="58" t="s">
        <v>519</v>
      </c>
      <c r="B390" s="44"/>
      <c r="C390" s="141" t="s">
        <v>962</v>
      </c>
      <c r="D390" s="143" t="s">
        <v>1404</v>
      </c>
      <c r="E390" s="87"/>
      <c r="F390" s="88"/>
      <c r="G390" s="97"/>
      <c r="H390" s="144"/>
      <c r="J390" s="34"/>
      <c r="AQ390" s="123"/>
    </row>
    <row r="391" spans="1:43" s="122" customFormat="1" ht="13.8">
      <c r="A391" s="58" t="s">
        <v>520</v>
      </c>
      <c r="B391" s="44"/>
      <c r="C391" s="147" t="s">
        <v>154</v>
      </c>
      <c r="D391" s="94" t="s">
        <v>259</v>
      </c>
      <c r="E391" s="87"/>
      <c r="F391" s="88">
        <f>0.255*15*1</f>
        <v>3.8250000000000002</v>
      </c>
      <c r="G391" s="97">
        <v>1</v>
      </c>
      <c r="H391" s="144"/>
      <c r="J391" s="34"/>
      <c r="AQ391" s="123"/>
    </row>
    <row r="392" spans="1:43" s="122" customFormat="1" ht="13.8">
      <c r="A392" s="58" t="s">
        <v>521</v>
      </c>
      <c r="B392" s="44"/>
      <c r="C392" s="147" t="s">
        <v>154</v>
      </c>
      <c r="D392" s="129" t="s">
        <v>1036</v>
      </c>
      <c r="E392" s="87"/>
      <c r="F392" s="88">
        <f>0.44*18*1</f>
        <v>7.92</v>
      </c>
      <c r="G392" s="97">
        <v>1</v>
      </c>
      <c r="H392" s="144"/>
      <c r="J392" s="34"/>
      <c r="AQ392" s="123"/>
    </row>
    <row r="393" spans="1:43" s="122" customFormat="1" ht="13.8">
      <c r="A393" s="58" t="s">
        <v>522</v>
      </c>
      <c r="B393" s="44"/>
      <c r="C393" s="147" t="s">
        <v>163</v>
      </c>
      <c r="D393" s="94" t="s">
        <v>1035</v>
      </c>
      <c r="E393" s="87"/>
      <c r="F393" s="88">
        <f>0.205*5*1</f>
        <v>1.0249999999999999</v>
      </c>
      <c r="G393" s="97">
        <v>1</v>
      </c>
      <c r="H393" s="144"/>
      <c r="J393" s="34"/>
      <c r="AQ393" s="123"/>
    </row>
    <row r="394" spans="1:43" s="122" customFormat="1" ht="13.8">
      <c r="A394" s="58" t="s">
        <v>523</v>
      </c>
      <c r="B394" s="44"/>
      <c r="C394" s="147" t="s">
        <v>162</v>
      </c>
      <c r="D394" s="94" t="s">
        <v>1035</v>
      </c>
      <c r="E394" s="87"/>
      <c r="F394" s="88">
        <f>0.205*5*1</f>
        <v>1.0249999999999999</v>
      </c>
      <c r="G394" s="97">
        <v>1</v>
      </c>
      <c r="H394" s="144"/>
      <c r="J394" s="34"/>
      <c r="AQ394" s="123"/>
    </row>
    <row r="395" spans="1:43" s="122" customFormat="1" ht="13.8">
      <c r="A395" s="58" t="s">
        <v>524</v>
      </c>
      <c r="B395" s="44"/>
      <c r="C395" s="147" t="s">
        <v>318</v>
      </c>
      <c r="D395" s="94" t="s">
        <v>1051</v>
      </c>
      <c r="E395" s="87"/>
      <c r="F395" s="88">
        <f>0.255*10*1</f>
        <v>2.5499999999999998</v>
      </c>
      <c r="G395" s="97">
        <v>1</v>
      </c>
      <c r="H395" s="144"/>
      <c r="J395" s="34"/>
      <c r="AQ395" s="123"/>
    </row>
    <row r="396" spans="1:43" s="122" customFormat="1" ht="13.8">
      <c r="A396" s="58" t="s">
        <v>525</v>
      </c>
      <c r="B396" s="44"/>
      <c r="C396" s="147" t="s">
        <v>230</v>
      </c>
      <c r="D396" s="94" t="s">
        <v>1039</v>
      </c>
      <c r="E396" s="87"/>
      <c r="F396" s="88"/>
      <c r="G396" s="97"/>
      <c r="H396" s="144"/>
      <c r="J396" s="34"/>
      <c r="AQ396" s="123"/>
    </row>
    <row r="397" spans="1:43" s="122" customFormat="1" ht="13.8">
      <c r="A397" s="58" t="s">
        <v>526</v>
      </c>
      <c r="B397" s="44"/>
      <c r="C397" s="147"/>
      <c r="D397" s="94"/>
      <c r="E397" s="87"/>
      <c r="F397" s="88"/>
      <c r="G397" s="97"/>
      <c r="H397" s="144"/>
      <c r="J397" s="34"/>
      <c r="AQ397" s="123"/>
    </row>
    <row r="398" spans="1:43" s="122" customFormat="1" ht="13.8">
      <c r="A398" s="58" t="s">
        <v>527</v>
      </c>
      <c r="B398" s="44"/>
      <c r="C398" s="148" t="s">
        <v>962</v>
      </c>
      <c r="D398" s="149" t="s">
        <v>1405</v>
      </c>
      <c r="E398" s="87"/>
      <c r="F398" s="88"/>
      <c r="G398" s="97"/>
      <c r="H398" s="144"/>
      <c r="J398" s="34"/>
      <c r="AQ398" s="123"/>
    </row>
    <row r="399" spans="1:43" s="122" customFormat="1" ht="13.8">
      <c r="A399" s="58" t="s">
        <v>529</v>
      </c>
      <c r="B399" s="44"/>
      <c r="C399" s="147" t="s">
        <v>228</v>
      </c>
      <c r="D399" s="129" t="s">
        <v>1048</v>
      </c>
      <c r="E399" s="87"/>
      <c r="F399" s="88">
        <f>0.44*18*3</f>
        <v>23.759999999999998</v>
      </c>
      <c r="G399" s="97">
        <v>3</v>
      </c>
      <c r="H399" s="144"/>
      <c r="J399" s="34"/>
      <c r="AQ399" s="123"/>
    </row>
    <row r="400" spans="1:43" s="122" customFormat="1" ht="13.8">
      <c r="A400" s="58" t="s">
        <v>531</v>
      </c>
      <c r="B400" s="44"/>
      <c r="C400" s="147" t="s">
        <v>410</v>
      </c>
      <c r="D400" s="129" t="s">
        <v>1038</v>
      </c>
      <c r="E400" s="87"/>
      <c r="F400" s="88">
        <f>0.44*19*1</f>
        <v>8.36</v>
      </c>
      <c r="G400" s="97">
        <v>1</v>
      </c>
      <c r="H400" s="144"/>
      <c r="J400" s="34"/>
      <c r="AQ400" s="123"/>
    </row>
    <row r="401" spans="1:43" s="122" customFormat="1" ht="13.8">
      <c r="A401" s="58" t="s">
        <v>533</v>
      </c>
      <c r="B401" s="44"/>
      <c r="C401" s="147" t="s">
        <v>228</v>
      </c>
      <c r="D401" s="129" t="s">
        <v>1036</v>
      </c>
      <c r="E401" s="87"/>
      <c r="F401" s="88">
        <f>0.44*18*1</f>
        <v>7.92</v>
      </c>
      <c r="G401" s="97">
        <v>1</v>
      </c>
      <c r="H401" s="144"/>
      <c r="J401" s="34"/>
      <c r="AQ401" s="123"/>
    </row>
    <row r="402" spans="1:43" s="122" customFormat="1" ht="13.8">
      <c r="A402" s="58" t="s">
        <v>534</v>
      </c>
      <c r="B402" s="44"/>
      <c r="C402" s="147" t="s">
        <v>226</v>
      </c>
      <c r="D402" s="129" t="s">
        <v>1036</v>
      </c>
      <c r="E402" s="87"/>
      <c r="F402" s="88">
        <f>0.44*18*1</f>
        <v>7.92</v>
      </c>
      <c r="G402" s="97">
        <v>1</v>
      </c>
      <c r="H402" s="144"/>
      <c r="J402" s="34"/>
      <c r="AQ402" s="123"/>
    </row>
    <row r="403" spans="1:43" s="122" customFormat="1" ht="13.8">
      <c r="A403" s="58" t="s">
        <v>535</v>
      </c>
      <c r="B403" s="44"/>
      <c r="C403" s="147" t="s">
        <v>1049</v>
      </c>
      <c r="D403" s="129" t="s">
        <v>1050</v>
      </c>
      <c r="E403" s="87"/>
      <c r="F403" s="88">
        <f>0.185*23*2</f>
        <v>8.51</v>
      </c>
      <c r="G403" s="97">
        <v>2</v>
      </c>
      <c r="H403" s="144"/>
      <c r="J403" s="34"/>
      <c r="AQ403" s="123"/>
    </row>
    <row r="404" spans="1:43" s="122" customFormat="1" ht="13.8">
      <c r="A404" s="58" t="s">
        <v>536</v>
      </c>
      <c r="B404" s="44"/>
      <c r="C404" s="147"/>
      <c r="D404" s="129"/>
      <c r="E404" s="87"/>
      <c r="F404" s="88"/>
      <c r="G404" s="97"/>
      <c r="H404" s="144"/>
      <c r="J404" s="34"/>
      <c r="AQ404" s="123"/>
    </row>
    <row r="405" spans="1:43" s="122" customFormat="1" ht="13.8">
      <c r="A405" s="58" t="s">
        <v>537</v>
      </c>
      <c r="B405" s="44"/>
      <c r="C405" s="148" t="s">
        <v>962</v>
      </c>
      <c r="D405" s="150" t="s">
        <v>1406</v>
      </c>
      <c r="E405" s="87"/>
      <c r="F405" s="88"/>
      <c r="G405" s="97"/>
      <c r="H405" s="144"/>
      <c r="J405" s="34"/>
      <c r="AQ405" s="123"/>
    </row>
    <row r="406" spans="1:43" s="122" customFormat="1" ht="13.8">
      <c r="A406" s="58" t="s">
        <v>538</v>
      </c>
      <c r="B406" s="44"/>
      <c r="C406" s="147" t="s">
        <v>234</v>
      </c>
      <c r="D406" s="94" t="s">
        <v>963</v>
      </c>
      <c r="E406" s="87"/>
      <c r="F406" s="88">
        <f>0.255*22*1</f>
        <v>5.61</v>
      </c>
      <c r="G406" s="97">
        <v>1</v>
      </c>
      <c r="H406" s="144"/>
      <c r="J406" s="34"/>
      <c r="AQ406" s="123"/>
    </row>
    <row r="407" spans="1:43" s="122" customFormat="1" ht="13.8">
      <c r="A407" s="58" t="s">
        <v>539</v>
      </c>
      <c r="B407" s="44"/>
      <c r="C407" s="147" t="s">
        <v>157</v>
      </c>
      <c r="D407" s="129" t="s">
        <v>1040</v>
      </c>
      <c r="E407" s="87"/>
      <c r="F407" s="88">
        <f>0.44*25*1</f>
        <v>11</v>
      </c>
      <c r="G407" s="97">
        <v>1</v>
      </c>
      <c r="H407" s="144"/>
      <c r="J407" s="34"/>
      <c r="AQ407" s="123"/>
    </row>
    <row r="408" spans="1:43" s="122" customFormat="1" ht="13.8">
      <c r="A408" s="58" t="s">
        <v>540</v>
      </c>
      <c r="B408" s="44"/>
      <c r="C408" s="147"/>
      <c r="D408" s="129"/>
      <c r="E408" s="87"/>
      <c r="F408" s="88"/>
      <c r="G408" s="97"/>
      <c r="H408" s="144"/>
      <c r="J408" s="34"/>
      <c r="AQ408" s="123"/>
    </row>
    <row r="409" spans="1:43" s="122" customFormat="1" ht="13.8">
      <c r="A409" s="58" t="s">
        <v>541</v>
      </c>
      <c r="B409" s="44"/>
      <c r="C409" s="148" t="s">
        <v>962</v>
      </c>
      <c r="D409" s="150" t="s">
        <v>1407</v>
      </c>
      <c r="E409" s="87"/>
      <c r="F409" s="88"/>
      <c r="G409" s="97"/>
      <c r="H409" s="144"/>
      <c r="J409" s="34"/>
      <c r="AQ409" s="123"/>
    </row>
    <row r="410" spans="1:43" s="122" customFormat="1" ht="13.8">
      <c r="A410" s="58" t="s">
        <v>542</v>
      </c>
      <c r="B410" s="44"/>
      <c r="C410" s="147" t="s">
        <v>1052</v>
      </c>
      <c r="D410" s="94" t="s">
        <v>1053</v>
      </c>
      <c r="E410" s="87"/>
      <c r="F410" s="88">
        <f>0.255*11*1</f>
        <v>2.8050000000000002</v>
      </c>
      <c r="G410" s="97">
        <v>1</v>
      </c>
      <c r="H410" s="144"/>
      <c r="J410" s="34"/>
      <c r="AQ410" s="123"/>
    </row>
    <row r="411" spans="1:43" s="122" customFormat="1" ht="13.8">
      <c r="A411" s="58" t="s">
        <v>544</v>
      </c>
      <c r="B411" s="44"/>
      <c r="C411" s="147" t="s">
        <v>1052</v>
      </c>
      <c r="D411" s="129" t="s">
        <v>243</v>
      </c>
      <c r="E411" s="87"/>
      <c r="F411" s="88">
        <f>0.44*10*1</f>
        <v>4.4000000000000004</v>
      </c>
      <c r="G411" s="97">
        <v>1</v>
      </c>
      <c r="H411" s="144"/>
      <c r="J411" s="34"/>
      <c r="AQ411" s="123"/>
    </row>
    <row r="412" spans="1:43" s="122" customFormat="1" ht="13.8">
      <c r="A412" s="58" t="s">
        <v>546</v>
      </c>
      <c r="B412" s="44"/>
      <c r="C412" s="147"/>
      <c r="D412" s="129"/>
      <c r="E412" s="87"/>
      <c r="F412" s="88"/>
      <c r="G412" s="97"/>
      <c r="H412" s="144"/>
      <c r="J412" s="34"/>
      <c r="AQ412" s="123"/>
    </row>
    <row r="413" spans="1:43" s="122" customFormat="1" ht="13.8">
      <c r="A413" s="58" t="s">
        <v>547</v>
      </c>
      <c r="B413" s="44"/>
      <c r="C413" s="148" t="s">
        <v>962</v>
      </c>
      <c r="D413" s="150" t="s">
        <v>1408</v>
      </c>
      <c r="E413" s="87"/>
      <c r="F413" s="88"/>
      <c r="G413" s="97"/>
      <c r="H413" s="144"/>
      <c r="J413" s="34"/>
      <c r="AQ413" s="123"/>
    </row>
    <row r="414" spans="1:43" s="122" customFormat="1" ht="13.8">
      <c r="A414" s="58" t="s">
        <v>549</v>
      </c>
      <c r="B414" s="44"/>
      <c r="C414" s="147" t="s">
        <v>447</v>
      </c>
      <c r="D414" s="129" t="s">
        <v>1044</v>
      </c>
      <c r="E414" s="87"/>
      <c r="F414" s="88">
        <f>0.44*20*2</f>
        <v>17.600000000000001</v>
      </c>
      <c r="G414" s="97">
        <v>2</v>
      </c>
      <c r="H414" s="144"/>
      <c r="J414" s="34"/>
      <c r="AQ414" s="123"/>
    </row>
    <row r="415" spans="1:43" s="122" customFormat="1" ht="13.8">
      <c r="A415" s="58" t="s">
        <v>551</v>
      </c>
      <c r="B415" s="44"/>
      <c r="C415" s="147" t="s">
        <v>513</v>
      </c>
      <c r="D415" s="94" t="s">
        <v>259</v>
      </c>
      <c r="E415" s="87"/>
      <c r="F415" s="88">
        <f>0.255*15*1</f>
        <v>3.8250000000000002</v>
      </c>
      <c r="G415" s="97">
        <v>1</v>
      </c>
      <c r="H415" s="144"/>
      <c r="J415" s="34"/>
      <c r="AQ415" s="123"/>
    </row>
    <row r="416" spans="1:43" s="122" customFormat="1" ht="13.8">
      <c r="A416" s="58" t="s">
        <v>553</v>
      </c>
      <c r="B416" s="44"/>
      <c r="C416" s="147" t="s">
        <v>447</v>
      </c>
      <c r="D416" s="94" t="s">
        <v>1019</v>
      </c>
      <c r="E416" s="87"/>
      <c r="F416" s="88">
        <f>0.255*25*1</f>
        <v>6.375</v>
      </c>
      <c r="G416" s="97">
        <v>1</v>
      </c>
      <c r="H416" s="144"/>
      <c r="J416" s="34"/>
      <c r="AQ416" s="123"/>
    </row>
    <row r="417" spans="1:43" s="122" customFormat="1" ht="13.8">
      <c r="A417" s="58" t="s">
        <v>555</v>
      </c>
      <c r="B417" s="44"/>
      <c r="C417" s="147"/>
      <c r="D417" s="94"/>
      <c r="E417" s="87"/>
      <c r="F417" s="88"/>
      <c r="G417" s="97"/>
      <c r="H417" s="144"/>
      <c r="J417" s="34"/>
      <c r="AQ417" s="123"/>
    </row>
    <row r="418" spans="1:43" s="122" customFormat="1" ht="13.8">
      <c r="A418" s="58" t="s">
        <v>557</v>
      </c>
      <c r="B418" s="44"/>
      <c r="C418" s="145"/>
      <c r="D418" s="140" t="s">
        <v>1054</v>
      </c>
      <c r="E418" s="87"/>
      <c r="F418" s="88"/>
      <c r="G418" s="97"/>
      <c r="H418" s="144"/>
      <c r="J418" s="34"/>
      <c r="AQ418" s="123"/>
    </row>
    <row r="419" spans="1:43" s="122" customFormat="1" ht="13.8">
      <c r="A419" s="58" t="s">
        <v>559</v>
      </c>
      <c r="B419" s="44"/>
      <c r="C419" s="145"/>
      <c r="D419" s="107" t="s">
        <v>1409</v>
      </c>
      <c r="E419" s="47" t="s">
        <v>41</v>
      </c>
      <c r="F419" s="49">
        <f>SUM(F421:F462)</f>
        <v>223.32500000000005</v>
      </c>
      <c r="G419" s="97"/>
      <c r="H419" s="144"/>
      <c r="J419" s="34"/>
      <c r="AQ419" s="123"/>
    </row>
    <row r="420" spans="1:43" s="122" customFormat="1" ht="13.8">
      <c r="A420" s="58" t="s">
        <v>561</v>
      </c>
      <c r="B420" s="44"/>
      <c r="C420" s="141" t="s">
        <v>962</v>
      </c>
      <c r="D420" s="143" t="s">
        <v>1410</v>
      </c>
      <c r="E420" s="87"/>
      <c r="F420" s="88"/>
      <c r="G420" s="97"/>
      <c r="H420" s="144"/>
      <c r="J420" s="34"/>
      <c r="AQ420" s="123"/>
    </row>
    <row r="421" spans="1:43" s="122" customFormat="1" ht="13.8">
      <c r="A421" s="58" t="s">
        <v>563</v>
      </c>
      <c r="B421" s="44"/>
      <c r="C421" s="151" t="s">
        <v>216</v>
      </c>
      <c r="D421" s="94" t="s">
        <v>250</v>
      </c>
      <c r="E421" s="87"/>
      <c r="F421" s="88">
        <f>0.255*14*1</f>
        <v>3.5700000000000003</v>
      </c>
      <c r="G421" s="97">
        <v>1</v>
      </c>
      <c r="H421" s="144"/>
      <c r="J421" s="34"/>
      <c r="AQ421" s="123"/>
    </row>
    <row r="422" spans="1:43" s="122" customFormat="1" ht="13.8">
      <c r="A422" s="58" t="s">
        <v>564</v>
      </c>
      <c r="B422" s="44"/>
      <c r="C422" s="151" t="s">
        <v>218</v>
      </c>
      <c r="D422" s="129" t="s">
        <v>243</v>
      </c>
      <c r="E422" s="87"/>
      <c r="F422" s="88">
        <f>0.44*10*1</f>
        <v>4.4000000000000004</v>
      </c>
      <c r="G422" s="97">
        <v>1</v>
      </c>
      <c r="H422" s="144"/>
      <c r="J422" s="34"/>
      <c r="AQ422" s="123"/>
    </row>
    <row r="423" spans="1:43" s="122" customFormat="1" ht="13.8">
      <c r="A423" s="58" t="s">
        <v>566</v>
      </c>
      <c r="B423" s="44"/>
      <c r="C423" s="151" t="s">
        <v>220</v>
      </c>
      <c r="D423" s="129" t="s">
        <v>1055</v>
      </c>
      <c r="E423" s="87"/>
      <c r="F423" s="88">
        <f>0.44*9*1</f>
        <v>3.96</v>
      </c>
      <c r="G423" s="97">
        <v>1</v>
      </c>
      <c r="H423" s="144"/>
      <c r="J423" s="34"/>
      <c r="AQ423" s="123"/>
    </row>
    <row r="424" spans="1:43" s="122" customFormat="1" ht="13.8">
      <c r="A424" s="58" t="s">
        <v>568</v>
      </c>
      <c r="B424" s="44"/>
      <c r="C424" s="147"/>
      <c r="D424" s="94"/>
      <c r="E424" s="87"/>
      <c r="F424" s="88"/>
      <c r="G424" s="97"/>
      <c r="H424" s="144"/>
      <c r="J424" s="34"/>
      <c r="AQ424" s="123"/>
    </row>
    <row r="425" spans="1:43" s="122" customFormat="1" ht="13.8">
      <c r="A425" s="58" t="s">
        <v>569</v>
      </c>
      <c r="B425" s="44"/>
      <c r="C425" s="141" t="s">
        <v>962</v>
      </c>
      <c r="D425" s="143" t="s">
        <v>1411</v>
      </c>
      <c r="E425" s="87"/>
      <c r="F425" s="88"/>
      <c r="G425" s="97"/>
      <c r="H425" s="144"/>
      <c r="J425" s="34"/>
      <c r="AQ425" s="123"/>
    </row>
    <row r="426" spans="1:43" s="122" customFormat="1" ht="13.8">
      <c r="A426" s="58" t="s">
        <v>570</v>
      </c>
      <c r="B426" s="44"/>
      <c r="C426" s="151" t="s">
        <v>285</v>
      </c>
      <c r="D426" s="94" t="s">
        <v>273</v>
      </c>
      <c r="E426" s="87"/>
      <c r="F426" s="88">
        <f>0.255*18*2</f>
        <v>9.18</v>
      </c>
      <c r="G426" s="97">
        <v>2</v>
      </c>
      <c r="H426" s="144"/>
      <c r="J426" s="34"/>
      <c r="AQ426" s="123"/>
    </row>
    <row r="427" spans="1:43" s="122" customFormat="1" ht="13.8">
      <c r="A427" s="58" t="s">
        <v>571</v>
      </c>
      <c r="B427" s="44"/>
      <c r="C427" s="151" t="s">
        <v>287</v>
      </c>
      <c r="D427" s="94" t="s">
        <v>1016</v>
      </c>
      <c r="E427" s="87"/>
      <c r="F427" s="88">
        <f>0.255*19*2</f>
        <v>9.69</v>
      </c>
      <c r="G427" s="97">
        <v>2</v>
      </c>
      <c r="H427" s="144"/>
      <c r="J427" s="34"/>
      <c r="AQ427" s="123"/>
    </row>
    <row r="428" spans="1:43" s="122" customFormat="1" ht="13.8">
      <c r="A428" s="58" t="s">
        <v>572</v>
      </c>
      <c r="B428" s="44"/>
      <c r="C428" s="151" t="s">
        <v>280</v>
      </c>
      <c r="D428" s="94" t="s">
        <v>250</v>
      </c>
      <c r="E428" s="87"/>
      <c r="F428" s="88">
        <f>0.255*14*1</f>
        <v>3.5700000000000003</v>
      </c>
      <c r="G428" s="97">
        <v>1</v>
      </c>
      <c r="H428" s="144"/>
      <c r="J428" s="34"/>
      <c r="AQ428" s="123"/>
    </row>
    <row r="429" spans="1:43" s="122" customFormat="1" ht="13.8">
      <c r="A429" s="58" t="s">
        <v>574</v>
      </c>
      <c r="B429" s="44"/>
      <c r="C429" s="151" t="s">
        <v>278</v>
      </c>
      <c r="D429" s="94" t="s">
        <v>974</v>
      </c>
      <c r="E429" s="87"/>
      <c r="F429" s="88">
        <f>0.255*17*1</f>
        <v>4.335</v>
      </c>
      <c r="G429" s="97">
        <v>1</v>
      </c>
      <c r="H429" s="144"/>
      <c r="J429" s="34"/>
      <c r="AQ429" s="123"/>
    </row>
    <row r="430" spans="1:43" s="122" customFormat="1" ht="13.8">
      <c r="A430" s="58" t="s">
        <v>575</v>
      </c>
      <c r="B430" s="44"/>
      <c r="C430" s="151" t="s">
        <v>275</v>
      </c>
      <c r="D430" s="94" t="s">
        <v>259</v>
      </c>
      <c r="E430" s="87"/>
      <c r="F430" s="88">
        <f>0.255*15*1</f>
        <v>3.8250000000000002</v>
      </c>
      <c r="G430" s="97">
        <v>1</v>
      </c>
      <c r="H430" s="144"/>
      <c r="J430" s="34"/>
      <c r="AQ430" s="123"/>
    </row>
    <row r="431" spans="1:43" s="122" customFormat="1" ht="13.8">
      <c r="A431" s="58" t="s">
        <v>576</v>
      </c>
      <c r="B431" s="44"/>
      <c r="C431" s="151" t="s">
        <v>272</v>
      </c>
      <c r="D431" s="94" t="s">
        <v>273</v>
      </c>
      <c r="E431" s="87"/>
      <c r="F431" s="88">
        <f>0.255*18*2</f>
        <v>9.18</v>
      </c>
      <c r="G431" s="97">
        <v>2</v>
      </c>
      <c r="H431" s="144"/>
      <c r="J431" s="34"/>
      <c r="AQ431" s="123"/>
    </row>
    <row r="432" spans="1:43" s="122" customFormat="1" ht="13.8">
      <c r="A432" s="58" t="s">
        <v>577</v>
      </c>
      <c r="B432" s="44"/>
      <c r="C432" s="147"/>
      <c r="D432" s="94"/>
      <c r="E432" s="87"/>
      <c r="F432" s="88"/>
      <c r="G432" s="97"/>
      <c r="H432" s="144"/>
      <c r="J432" s="34"/>
      <c r="AQ432" s="123"/>
    </row>
    <row r="433" spans="1:43" s="122" customFormat="1" ht="13.8">
      <c r="A433" s="58" t="s">
        <v>578</v>
      </c>
      <c r="B433" s="44"/>
      <c r="C433" s="141" t="s">
        <v>962</v>
      </c>
      <c r="D433" s="143" t="s">
        <v>1412</v>
      </c>
      <c r="E433" s="87"/>
      <c r="F433" s="88"/>
      <c r="G433" s="97"/>
      <c r="H433" s="144"/>
      <c r="J433" s="34"/>
      <c r="AQ433" s="123"/>
    </row>
    <row r="434" spans="1:43" s="122" customFormat="1" ht="13.8">
      <c r="A434" s="58" t="s">
        <v>579</v>
      </c>
      <c r="B434" s="44"/>
      <c r="C434" s="151" t="s">
        <v>1056</v>
      </c>
      <c r="D434" s="94" t="s">
        <v>989</v>
      </c>
      <c r="E434" s="87"/>
      <c r="F434" s="88">
        <f>0.255*20*1</f>
        <v>5.0999999999999996</v>
      </c>
      <c r="G434" s="97">
        <v>1</v>
      </c>
      <c r="H434" s="144"/>
      <c r="J434" s="34"/>
      <c r="AQ434" s="123"/>
    </row>
    <row r="435" spans="1:43" s="122" customFormat="1" ht="13.8">
      <c r="A435" s="58" t="s">
        <v>580</v>
      </c>
      <c r="B435" s="44"/>
      <c r="C435" s="151" t="s">
        <v>1057</v>
      </c>
      <c r="D435" s="94" t="s">
        <v>259</v>
      </c>
      <c r="E435" s="87"/>
      <c r="F435" s="88">
        <f>0.255*15*1</f>
        <v>3.8250000000000002</v>
      </c>
      <c r="G435" s="97">
        <v>1</v>
      </c>
      <c r="H435" s="144"/>
      <c r="J435" s="34"/>
      <c r="AQ435" s="123"/>
    </row>
    <row r="436" spans="1:43" s="122" customFormat="1" ht="13.8">
      <c r="A436" s="58" t="s">
        <v>581</v>
      </c>
      <c r="B436" s="44"/>
      <c r="C436" s="151" t="s">
        <v>370</v>
      </c>
      <c r="D436" s="94" t="s">
        <v>1059</v>
      </c>
      <c r="E436" s="87"/>
      <c r="F436" s="88">
        <f>0.255*25*5</f>
        <v>31.875</v>
      </c>
      <c r="G436" s="97">
        <v>5</v>
      </c>
      <c r="H436" s="144"/>
      <c r="J436" s="34"/>
      <c r="AQ436" s="123"/>
    </row>
    <row r="437" spans="1:43" s="122" customFormat="1" ht="13.8">
      <c r="A437" s="58" t="s">
        <v>582</v>
      </c>
      <c r="B437" s="44"/>
      <c r="C437" s="151" t="s">
        <v>1060</v>
      </c>
      <c r="D437" s="94" t="s">
        <v>259</v>
      </c>
      <c r="E437" s="87"/>
      <c r="F437" s="88">
        <f>0.255*15*1</f>
        <v>3.8250000000000002</v>
      </c>
      <c r="G437" s="97">
        <v>1</v>
      </c>
      <c r="H437" s="144"/>
      <c r="J437" s="34"/>
      <c r="AQ437" s="123"/>
    </row>
    <row r="438" spans="1:43" s="122" customFormat="1" ht="13.8">
      <c r="A438" s="58" t="s">
        <v>583</v>
      </c>
      <c r="B438" s="44"/>
      <c r="C438" s="151" t="s">
        <v>1060</v>
      </c>
      <c r="D438" s="94" t="s">
        <v>262</v>
      </c>
      <c r="E438" s="87"/>
      <c r="F438" s="88">
        <f>0.255*16*1</f>
        <v>4.08</v>
      </c>
      <c r="G438" s="97">
        <v>1</v>
      </c>
      <c r="H438" s="144"/>
      <c r="J438" s="34"/>
      <c r="AQ438" s="123"/>
    </row>
    <row r="439" spans="1:43" s="122" customFormat="1" ht="13.8">
      <c r="A439" s="58" t="s">
        <v>584</v>
      </c>
      <c r="B439" s="44"/>
      <c r="C439" s="147"/>
      <c r="D439" s="94"/>
      <c r="E439" s="87"/>
      <c r="F439" s="88"/>
      <c r="G439" s="97"/>
      <c r="H439" s="144"/>
      <c r="J439" s="34"/>
      <c r="AQ439" s="123"/>
    </row>
    <row r="440" spans="1:43" s="122" customFormat="1" ht="13.8">
      <c r="A440" s="58" t="s">
        <v>585</v>
      </c>
      <c r="B440" s="44"/>
      <c r="C440" s="141" t="s">
        <v>962</v>
      </c>
      <c r="D440" s="143" t="s">
        <v>1413</v>
      </c>
      <c r="E440" s="87"/>
      <c r="F440" s="88"/>
      <c r="G440" s="97"/>
      <c r="H440" s="144"/>
      <c r="J440" s="34"/>
      <c r="AQ440" s="123"/>
    </row>
    <row r="441" spans="1:43" s="122" customFormat="1" ht="13.8">
      <c r="A441" s="58" t="s">
        <v>586</v>
      </c>
      <c r="B441" s="44"/>
      <c r="C441" s="151" t="s">
        <v>450</v>
      </c>
      <c r="D441" s="94" t="s">
        <v>989</v>
      </c>
      <c r="E441" s="87"/>
      <c r="F441" s="88">
        <f>0.255*20*1</f>
        <v>5.0999999999999996</v>
      </c>
      <c r="G441" s="97">
        <v>1</v>
      </c>
      <c r="H441" s="144"/>
      <c r="J441" s="34"/>
      <c r="AQ441" s="123"/>
    </row>
    <row r="442" spans="1:43" s="122" customFormat="1" ht="13.8">
      <c r="A442" s="58" t="s">
        <v>587</v>
      </c>
      <c r="B442" s="44"/>
      <c r="C442" s="151" t="s">
        <v>182</v>
      </c>
      <c r="D442" s="94" t="s">
        <v>259</v>
      </c>
      <c r="E442" s="87"/>
      <c r="F442" s="88">
        <f>0.255*15*1</f>
        <v>3.8250000000000002</v>
      </c>
      <c r="G442" s="97">
        <v>1</v>
      </c>
      <c r="H442" s="144"/>
      <c r="J442" s="34"/>
      <c r="AQ442" s="123"/>
    </row>
    <row r="443" spans="1:43" s="122" customFormat="1" ht="13.8">
      <c r="A443" s="58" t="s">
        <v>588</v>
      </c>
      <c r="B443" s="44"/>
      <c r="C443" s="151" t="s">
        <v>184</v>
      </c>
      <c r="D443" s="94" t="s">
        <v>1059</v>
      </c>
      <c r="E443" s="87"/>
      <c r="F443" s="88">
        <f>0.255*25*5</f>
        <v>31.875</v>
      </c>
      <c r="G443" s="97">
        <v>5</v>
      </c>
      <c r="H443" s="144"/>
      <c r="J443" s="34"/>
      <c r="AQ443" s="123"/>
    </row>
    <row r="444" spans="1:43" s="122" customFormat="1" ht="13.8">
      <c r="A444" s="58" t="s">
        <v>589</v>
      </c>
      <c r="B444" s="44"/>
      <c r="C444" s="151" t="s">
        <v>1061</v>
      </c>
      <c r="D444" s="94" t="s">
        <v>294</v>
      </c>
      <c r="E444" s="87"/>
      <c r="F444" s="88">
        <f>0.255*18*1</f>
        <v>4.59</v>
      </c>
      <c r="G444" s="97">
        <v>1</v>
      </c>
      <c r="H444" s="144"/>
      <c r="J444" s="34"/>
      <c r="AQ444" s="123"/>
    </row>
    <row r="445" spans="1:43" s="122" customFormat="1" ht="13.8">
      <c r="A445" s="58" t="s">
        <v>590</v>
      </c>
      <c r="B445" s="44"/>
      <c r="C445" s="151" t="s">
        <v>182</v>
      </c>
      <c r="D445" s="94" t="s">
        <v>333</v>
      </c>
      <c r="E445" s="87"/>
      <c r="F445" s="88">
        <f>0.255*16*1</f>
        <v>4.08</v>
      </c>
      <c r="G445" s="97">
        <v>1</v>
      </c>
      <c r="H445" s="144"/>
      <c r="J445" s="34"/>
      <c r="AQ445" s="123"/>
    </row>
    <row r="446" spans="1:43" s="122" customFormat="1" ht="13.8">
      <c r="A446" s="58" t="s">
        <v>591</v>
      </c>
      <c r="B446" s="44"/>
      <c r="C446" s="147"/>
      <c r="D446" s="94"/>
      <c r="E446" s="87"/>
      <c r="F446" s="88"/>
      <c r="G446" s="97"/>
      <c r="H446" s="144"/>
      <c r="J446" s="34"/>
      <c r="AQ446" s="123"/>
    </row>
    <row r="447" spans="1:43" s="122" customFormat="1" ht="13.8">
      <c r="A447" s="58" t="s">
        <v>592</v>
      </c>
      <c r="B447" s="44"/>
      <c r="C447" s="141" t="s">
        <v>962</v>
      </c>
      <c r="D447" s="143" t="s">
        <v>1414</v>
      </c>
      <c r="E447" s="87"/>
      <c r="F447" s="88"/>
      <c r="G447" s="97"/>
      <c r="H447" s="144"/>
      <c r="J447" s="34"/>
      <c r="AQ447" s="123"/>
    </row>
    <row r="448" spans="1:43" s="122" customFormat="1" ht="13.8">
      <c r="A448" s="58" t="s">
        <v>593</v>
      </c>
      <c r="B448" s="44"/>
      <c r="C448" s="151" t="s">
        <v>351</v>
      </c>
      <c r="D448" s="94" t="s">
        <v>333</v>
      </c>
      <c r="E448" s="87"/>
      <c r="F448" s="88">
        <f>0.255*16*1</f>
        <v>4.08</v>
      </c>
      <c r="G448" s="97">
        <v>1</v>
      </c>
      <c r="H448" s="144"/>
      <c r="J448" s="34"/>
      <c r="AQ448" s="123"/>
    </row>
    <row r="449" spans="1:43" s="122" customFormat="1" ht="13.8">
      <c r="A449" s="58" t="s">
        <v>594</v>
      </c>
      <c r="B449" s="44"/>
      <c r="C449" s="151" t="s">
        <v>352</v>
      </c>
      <c r="D449" s="94" t="s">
        <v>333</v>
      </c>
      <c r="E449" s="87"/>
      <c r="F449" s="88">
        <f>0.255*16*1</f>
        <v>4.08</v>
      </c>
      <c r="G449" s="97">
        <v>1</v>
      </c>
      <c r="H449" s="144"/>
      <c r="J449" s="34"/>
      <c r="AQ449" s="123"/>
    </row>
    <row r="450" spans="1:43" s="122" customFormat="1" ht="13.8">
      <c r="A450" s="58" t="s">
        <v>595</v>
      </c>
      <c r="B450" s="44"/>
      <c r="C450" s="151" t="s">
        <v>347</v>
      </c>
      <c r="D450" s="94" t="s">
        <v>333</v>
      </c>
      <c r="E450" s="87"/>
      <c r="F450" s="88">
        <f>0.255*16*1</f>
        <v>4.08</v>
      </c>
      <c r="G450" s="97">
        <v>1</v>
      </c>
      <c r="H450" s="144"/>
      <c r="J450" s="34"/>
      <c r="AQ450" s="123"/>
    </row>
    <row r="451" spans="1:43" s="122" customFormat="1" ht="13.8">
      <c r="A451" s="58" t="s">
        <v>596</v>
      </c>
      <c r="B451" s="44"/>
      <c r="C451" s="151" t="s">
        <v>346</v>
      </c>
      <c r="D451" s="94" t="s">
        <v>276</v>
      </c>
      <c r="E451" s="87"/>
      <c r="F451" s="88">
        <f>0.255*15*1</f>
        <v>3.8250000000000002</v>
      </c>
      <c r="G451" s="97">
        <v>1</v>
      </c>
      <c r="H451" s="144"/>
      <c r="J451" s="34"/>
      <c r="AQ451" s="123"/>
    </row>
    <row r="452" spans="1:43" s="122" customFormat="1" ht="13.8">
      <c r="A452" s="58" t="s">
        <v>597</v>
      </c>
      <c r="B452" s="44"/>
      <c r="C452" s="147"/>
      <c r="D452" s="94"/>
      <c r="E452" s="87"/>
      <c r="F452" s="88"/>
      <c r="G452" s="97"/>
      <c r="H452" s="144"/>
      <c r="J452" s="34"/>
      <c r="AQ452" s="123"/>
    </row>
    <row r="453" spans="1:43" s="122" customFormat="1" ht="13.8">
      <c r="A453" s="58" t="s">
        <v>598</v>
      </c>
      <c r="B453" s="44"/>
      <c r="C453" s="141" t="s">
        <v>962</v>
      </c>
      <c r="D453" s="143" t="s">
        <v>1415</v>
      </c>
      <c r="E453" s="87"/>
      <c r="F453" s="88"/>
      <c r="G453" s="97"/>
      <c r="H453" s="144"/>
      <c r="J453" s="34"/>
      <c r="AQ453" s="123"/>
    </row>
    <row r="454" spans="1:43" s="122" customFormat="1" ht="13.8">
      <c r="A454" s="58" t="s">
        <v>600</v>
      </c>
      <c r="B454" s="44"/>
      <c r="C454" s="151" t="s">
        <v>1062</v>
      </c>
      <c r="D454" s="94" t="s">
        <v>1019</v>
      </c>
      <c r="E454" s="87"/>
      <c r="F454" s="88">
        <f>0.255*25*1</f>
        <v>6.375</v>
      </c>
      <c r="G454" s="97">
        <v>1</v>
      </c>
      <c r="H454" s="144"/>
      <c r="J454" s="34"/>
      <c r="AQ454" s="123"/>
    </row>
    <row r="455" spans="1:43" s="122" customFormat="1" ht="13.8">
      <c r="A455" s="58" t="s">
        <v>602</v>
      </c>
      <c r="B455" s="44"/>
      <c r="C455" s="151" t="s">
        <v>502</v>
      </c>
      <c r="D455" s="94" t="s">
        <v>1019</v>
      </c>
      <c r="E455" s="87"/>
      <c r="F455" s="88">
        <f>0.255*25*1</f>
        <v>6.375</v>
      </c>
      <c r="G455" s="97">
        <v>1</v>
      </c>
      <c r="H455" s="144"/>
      <c r="J455" s="34"/>
      <c r="AQ455" s="123"/>
    </row>
    <row r="456" spans="1:43" s="122" customFormat="1" ht="13.8">
      <c r="A456" s="58" t="s">
        <v>604</v>
      </c>
      <c r="B456" s="44"/>
      <c r="C456" s="151" t="s">
        <v>488</v>
      </c>
      <c r="D456" s="94" t="s">
        <v>1019</v>
      </c>
      <c r="E456" s="87"/>
      <c r="F456" s="88">
        <f t="shared" ref="F456:F462" si="9">0.255*25*1</f>
        <v>6.375</v>
      </c>
      <c r="G456" s="97">
        <v>1</v>
      </c>
      <c r="H456" s="144"/>
      <c r="J456" s="34"/>
      <c r="AQ456" s="123"/>
    </row>
    <row r="457" spans="1:43" s="122" customFormat="1" ht="13.8">
      <c r="A457" s="58" t="s">
        <v>606</v>
      </c>
      <c r="B457" s="44"/>
      <c r="C457" s="151" t="s">
        <v>486</v>
      </c>
      <c r="D457" s="94" t="s">
        <v>1019</v>
      </c>
      <c r="E457" s="87"/>
      <c r="F457" s="88">
        <f t="shared" si="9"/>
        <v>6.375</v>
      </c>
      <c r="G457" s="97">
        <v>1</v>
      </c>
      <c r="H457" s="144"/>
      <c r="J457" s="34"/>
      <c r="AQ457" s="123"/>
    </row>
    <row r="458" spans="1:43" s="122" customFormat="1" ht="13.8">
      <c r="A458" s="58" t="s">
        <v>607</v>
      </c>
      <c r="B458" s="44"/>
      <c r="C458" s="151" t="s">
        <v>484</v>
      </c>
      <c r="D458" s="94" t="s">
        <v>1019</v>
      </c>
      <c r="E458" s="87"/>
      <c r="F458" s="88">
        <f t="shared" si="9"/>
        <v>6.375</v>
      </c>
      <c r="G458" s="97">
        <v>1</v>
      </c>
      <c r="H458" s="144"/>
      <c r="J458" s="34"/>
      <c r="AQ458" s="123"/>
    </row>
    <row r="459" spans="1:43" s="122" customFormat="1" ht="13.8">
      <c r="A459" s="58" t="s">
        <v>609</v>
      </c>
      <c r="B459" s="44"/>
      <c r="C459" s="151" t="s">
        <v>482</v>
      </c>
      <c r="D459" s="94" t="s">
        <v>1019</v>
      </c>
      <c r="E459" s="87"/>
      <c r="F459" s="88">
        <f t="shared" si="9"/>
        <v>6.375</v>
      </c>
      <c r="G459" s="97">
        <v>1</v>
      </c>
      <c r="H459" s="144"/>
      <c r="J459" s="34"/>
      <c r="AQ459" s="123"/>
    </row>
    <row r="460" spans="1:43" s="122" customFormat="1" ht="13.8">
      <c r="A460" s="58" t="s">
        <v>611</v>
      </c>
      <c r="B460" s="44"/>
      <c r="C460" s="151" t="s">
        <v>480</v>
      </c>
      <c r="D460" s="94" t="s">
        <v>1019</v>
      </c>
      <c r="E460" s="87"/>
      <c r="F460" s="88">
        <f t="shared" si="9"/>
        <v>6.375</v>
      </c>
      <c r="G460" s="97">
        <v>1</v>
      </c>
      <c r="H460" s="144"/>
      <c r="J460" s="34"/>
      <c r="AQ460" s="123"/>
    </row>
    <row r="461" spans="1:43" s="122" customFormat="1" ht="13.8">
      <c r="A461" s="58" t="s">
        <v>613</v>
      </c>
      <c r="B461" s="44"/>
      <c r="C461" s="151" t="s">
        <v>478</v>
      </c>
      <c r="D461" s="94" t="s">
        <v>1019</v>
      </c>
      <c r="E461" s="87"/>
      <c r="F461" s="88">
        <f t="shared" si="9"/>
        <v>6.375</v>
      </c>
      <c r="G461" s="97">
        <v>1</v>
      </c>
      <c r="H461" s="144"/>
      <c r="J461" s="34"/>
      <c r="AQ461" s="123"/>
    </row>
    <row r="462" spans="1:43" s="122" customFormat="1" ht="13.8">
      <c r="A462" s="58" t="s">
        <v>614</v>
      </c>
      <c r="B462" s="44"/>
      <c r="C462" s="151" t="s">
        <v>622</v>
      </c>
      <c r="D462" s="94" t="s">
        <v>1019</v>
      </c>
      <c r="E462" s="87"/>
      <c r="F462" s="88">
        <f t="shared" si="9"/>
        <v>6.375</v>
      </c>
      <c r="G462" s="97">
        <v>1</v>
      </c>
      <c r="H462" s="144"/>
      <c r="J462" s="34"/>
      <c r="AQ462" s="123"/>
    </row>
    <row r="463" spans="1:43" s="122" customFormat="1" ht="13.8">
      <c r="A463" s="58" t="s">
        <v>615</v>
      </c>
      <c r="B463" s="44"/>
      <c r="C463" s="147"/>
      <c r="D463" s="94"/>
      <c r="E463" s="87"/>
      <c r="F463" s="88"/>
      <c r="G463" s="97"/>
      <c r="H463" s="144"/>
      <c r="J463" s="34"/>
      <c r="AQ463" s="123"/>
    </row>
    <row r="464" spans="1:43" s="122" customFormat="1" ht="13.8">
      <c r="A464" s="58" t="s">
        <v>616</v>
      </c>
      <c r="B464" s="44"/>
      <c r="C464" s="145"/>
      <c r="D464" s="140" t="s">
        <v>1063</v>
      </c>
      <c r="E464" s="87"/>
      <c r="F464" s="88"/>
      <c r="G464" s="97"/>
      <c r="H464" s="144"/>
      <c r="J464" s="34"/>
      <c r="AQ464" s="123"/>
    </row>
    <row r="465" spans="1:43" s="122" customFormat="1" ht="13.8">
      <c r="A465" s="58" t="s">
        <v>617</v>
      </c>
      <c r="B465" s="44"/>
      <c r="C465" s="145"/>
      <c r="D465" s="107" t="s">
        <v>1416</v>
      </c>
      <c r="E465" s="47" t="s">
        <v>41</v>
      </c>
      <c r="F465" s="49">
        <f>SUM(F467:F526)</f>
        <v>174.63499999999996</v>
      </c>
      <c r="G465" s="97"/>
      <c r="H465" s="144"/>
      <c r="J465" s="34"/>
      <c r="AQ465" s="123"/>
    </row>
    <row r="466" spans="1:43" s="122" customFormat="1" ht="13.8">
      <c r="A466" s="58" t="s">
        <v>618</v>
      </c>
      <c r="B466" s="44"/>
      <c r="C466" s="141" t="s">
        <v>962</v>
      </c>
      <c r="D466" s="143" t="s">
        <v>1417</v>
      </c>
      <c r="E466" s="87"/>
      <c r="F466" s="88"/>
      <c r="G466" s="97"/>
      <c r="H466" s="144"/>
      <c r="J466" s="34"/>
      <c r="AQ466" s="123"/>
    </row>
    <row r="467" spans="1:43" s="122" customFormat="1" ht="13.8">
      <c r="A467" s="58" t="s">
        <v>619</v>
      </c>
      <c r="B467" s="44"/>
      <c r="C467" s="151" t="s">
        <v>228</v>
      </c>
      <c r="D467" s="94" t="s">
        <v>250</v>
      </c>
      <c r="E467" s="87"/>
      <c r="F467" s="88">
        <f>0.255*14*1</f>
        <v>3.5700000000000003</v>
      </c>
      <c r="G467" s="97">
        <v>1</v>
      </c>
      <c r="H467" s="144"/>
      <c r="J467" s="34"/>
      <c r="AQ467" s="123"/>
    </row>
    <row r="468" spans="1:43" s="122" customFormat="1" ht="13.8">
      <c r="A468" s="58" t="s">
        <v>620</v>
      </c>
      <c r="B468" s="44"/>
      <c r="C468" s="151" t="s">
        <v>226</v>
      </c>
      <c r="D468" s="129" t="s">
        <v>1064</v>
      </c>
      <c r="E468" s="87"/>
      <c r="F468" s="88">
        <f>0.44*10*1</f>
        <v>4.4000000000000004</v>
      </c>
      <c r="G468" s="97">
        <v>1</v>
      </c>
      <c r="H468" s="144"/>
      <c r="J468" s="34"/>
      <c r="AQ468" s="123"/>
    </row>
    <row r="469" spans="1:43" s="122" customFormat="1" ht="13.8">
      <c r="A469" s="58" t="s">
        <v>621</v>
      </c>
      <c r="B469" s="44"/>
      <c r="C469" s="151" t="s">
        <v>224</v>
      </c>
      <c r="D469" s="94" t="s">
        <v>1051</v>
      </c>
      <c r="E469" s="87"/>
      <c r="F469" s="88">
        <f t="shared" ref="F469" si="10">0.255*10*1</f>
        <v>2.5499999999999998</v>
      </c>
      <c r="G469" s="97">
        <v>1</v>
      </c>
      <c r="H469" s="144"/>
      <c r="J469" s="34"/>
      <c r="AQ469" s="123"/>
    </row>
    <row r="470" spans="1:43" s="122" customFormat="1" ht="13.8">
      <c r="A470" s="58" t="s">
        <v>623</v>
      </c>
      <c r="B470" s="44"/>
      <c r="C470" s="151" t="s">
        <v>228</v>
      </c>
      <c r="D470" s="94" t="s">
        <v>259</v>
      </c>
      <c r="E470" s="87"/>
      <c r="F470" s="88">
        <f>0.255*15*1</f>
        <v>3.8250000000000002</v>
      </c>
      <c r="G470" s="97">
        <v>1</v>
      </c>
      <c r="H470" s="144"/>
      <c r="J470" s="34"/>
      <c r="AQ470" s="123"/>
    </row>
    <row r="471" spans="1:43" s="122" customFormat="1" ht="13.8">
      <c r="A471" s="58" t="s">
        <v>624</v>
      </c>
      <c r="B471" s="44"/>
      <c r="C471" s="147"/>
      <c r="D471" s="94"/>
      <c r="E471" s="87"/>
      <c r="F471" s="88"/>
      <c r="G471" s="97"/>
      <c r="H471" s="144"/>
      <c r="J471" s="34"/>
      <c r="AQ471" s="123"/>
    </row>
    <row r="472" spans="1:43" s="122" customFormat="1" ht="13.8">
      <c r="A472" s="58" t="s">
        <v>625</v>
      </c>
      <c r="B472" s="44"/>
      <c r="C472" s="141" t="s">
        <v>962</v>
      </c>
      <c r="D472" s="143" t="s">
        <v>1418</v>
      </c>
      <c r="E472" s="87"/>
      <c r="F472" s="88"/>
      <c r="G472" s="97"/>
      <c r="H472" s="144"/>
      <c r="J472" s="34"/>
      <c r="AQ472" s="123"/>
    </row>
    <row r="473" spans="1:43" s="122" customFormat="1" ht="13.8">
      <c r="A473" s="58" t="s">
        <v>626</v>
      </c>
      <c r="B473" s="44"/>
      <c r="C473" s="151" t="s">
        <v>206</v>
      </c>
      <c r="D473" s="94" t="s">
        <v>259</v>
      </c>
      <c r="E473" s="87"/>
      <c r="F473" s="88">
        <f t="shared" ref="F473" si="11">0.255*15*1</f>
        <v>3.8250000000000002</v>
      </c>
      <c r="G473" s="97">
        <v>1</v>
      </c>
      <c r="H473" s="144"/>
      <c r="J473" s="34"/>
      <c r="AQ473" s="123"/>
    </row>
    <row r="474" spans="1:43" s="122" customFormat="1" ht="13.8">
      <c r="A474" s="58" t="s">
        <v>627</v>
      </c>
      <c r="B474" s="44"/>
      <c r="C474" s="151" t="s">
        <v>205</v>
      </c>
      <c r="D474" s="94" t="s">
        <v>989</v>
      </c>
      <c r="E474" s="87"/>
      <c r="F474" s="88">
        <f>0.255*20*1</f>
        <v>5.0999999999999996</v>
      </c>
      <c r="G474" s="97">
        <v>1</v>
      </c>
      <c r="H474" s="144"/>
      <c r="J474" s="34"/>
      <c r="AQ474" s="123"/>
    </row>
    <row r="475" spans="1:43" s="122" customFormat="1" ht="13.8">
      <c r="A475" s="58" t="s">
        <v>628</v>
      </c>
      <c r="B475" s="44"/>
      <c r="C475" s="151" t="s">
        <v>201</v>
      </c>
      <c r="D475" s="94" t="s">
        <v>1051</v>
      </c>
      <c r="E475" s="87"/>
      <c r="F475" s="88">
        <f>0.255*10*1</f>
        <v>2.5499999999999998</v>
      </c>
      <c r="G475" s="97">
        <v>1</v>
      </c>
      <c r="H475" s="144"/>
      <c r="J475" s="34"/>
      <c r="AQ475" s="123"/>
    </row>
    <row r="476" spans="1:43" s="122" customFormat="1" ht="13.8">
      <c r="A476" s="58" t="s">
        <v>629</v>
      </c>
      <c r="B476" s="44"/>
      <c r="C476" s="151" t="s">
        <v>203</v>
      </c>
      <c r="D476" s="129" t="s">
        <v>1065</v>
      </c>
      <c r="E476" s="87"/>
      <c r="F476" s="88">
        <f>0.44*6*1</f>
        <v>2.64</v>
      </c>
      <c r="G476" s="97">
        <v>1</v>
      </c>
      <c r="H476" s="144"/>
      <c r="J476" s="34"/>
      <c r="AQ476" s="123"/>
    </row>
    <row r="477" spans="1:43" s="122" customFormat="1" ht="13.8">
      <c r="A477" s="58" t="s">
        <v>630</v>
      </c>
      <c r="B477" s="44"/>
      <c r="C477" s="151" t="s">
        <v>203</v>
      </c>
      <c r="D477" s="94" t="s">
        <v>1066</v>
      </c>
      <c r="E477" s="87"/>
      <c r="F477" s="88">
        <f>0.255*8*1</f>
        <v>2.04</v>
      </c>
      <c r="G477" s="97">
        <v>1</v>
      </c>
      <c r="H477" s="144"/>
      <c r="J477" s="34"/>
      <c r="AQ477" s="123"/>
    </row>
    <row r="478" spans="1:43" s="122" customFormat="1" ht="13.8">
      <c r="A478" s="58" t="s">
        <v>631</v>
      </c>
      <c r="B478" s="44"/>
      <c r="C478" s="151" t="s">
        <v>197</v>
      </c>
      <c r="D478" s="94" t="s">
        <v>250</v>
      </c>
      <c r="E478" s="87"/>
      <c r="F478" s="88">
        <f>0.255*14*1</f>
        <v>3.5700000000000003</v>
      </c>
      <c r="G478" s="97">
        <v>1</v>
      </c>
      <c r="H478" s="144"/>
      <c r="J478" s="34"/>
      <c r="AQ478" s="123"/>
    </row>
    <row r="479" spans="1:43" s="122" customFormat="1" ht="13.8">
      <c r="A479" s="58" t="s">
        <v>632</v>
      </c>
      <c r="B479" s="44"/>
      <c r="C479" s="151" t="s">
        <v>195</v>
      </c>
      <c r="D479" s="94" t="s">
        <v>250</v>
      </c>
      <c r="E479" s="87"/>
      <c r="F479" s="88">
        <f>0.255*14*1</f>
        <v>3.5700000000000003</v>
      </c>
      <c r="G479" s="97">
        <v>1</v>
      </c>
      <c r="H479" s="144"/>
      <c r="J479" s="34"/>
      <c r="AQ479" s="123"/>
    </row>
    <row r="480" spans="1:43" s="122" customFormat="1" ht="13.8">
      <c r="A480" s="58" t="s">
        <v>633</v>
      </c>
      <c r="B480" s="44"/>
      <c r="C480" s="151" t="s">
        <v>193</v>
      </c>
      <c r="D480" s="94" t="s">
        <v>1058</v>
      </c>
      <c r="E480" s="87"/>
      <c r="F480" s="88">
        <f>0.255*21*1</f>
        <v>5.3550000000000004</v>
      </c>
      <c r="G480" s="97">
        <v>1</v>
      </c>
      <c r="H480" s="144"/>
      <c r="J480" s="34"/>
      <c r="AQ480" s="123"/>
    </row>
    <row r="481" spans="1:43" s="122" customFormat="1" ht="13.8">
      <c r="A481" s="58" t="s">
        <v>634</v>
      </c>
      <c r="B481" s="44"/>
      <c r="C481" s="151" t="s">
        <v>190</v>
      </c>
      <c r="D481" s="94" t="s">
        <v>259</v>
      </c>
      <c r="E481" s="87"/>
      <c r="F481" s="88">
        <f t="shared" ref="F481:F482" si="12">0.255*15*1</f>
        <v>3.8250000000000002</v>
      </c>
      <c r="G481" s="97">
        <v>1</v>
      </c>
      <c r="H481" s="144"/>
      <c r="J481" s="34"/>
      <c r="AQ481" s="123"/>
    </row>
    <row r="482" spans="1:43" s="122" customFormat="1" ht="13.8">
      <c r="A482" s="58" t="s">
        <v>635</v>
      </c>
      <c r="B482" s="44"/>
      <c r="C482" s="151" t="s">
        <v>193</v>
      </c>
      <c r="D482" s="94" t="s">
        <v>259</v>
      </c>
      <c r="E482" s="87"/>
      <c r="F482" s="88">
        <f t="shared" si="12"/>
        <v>3.8250000000000002</v>
      </c>
      <c r="G482" s="97">
        <v>1</v>
      </c>
      <c r="H482" s="144"/>
      <c r="J482" s="34"/>
      <c r="AQ482" s="123"/>
    </row>
    <row r="483" spans="1:43" s="122" customFormat="1" ht="13.8">
      <c r="A483" s="58" t="s">
        <v>636</v>
      </c>
      <c r="B483" s="44"/>
      <c r="C483" s="151" t="s">
        <v>188</v>
      </c>
      <c r="D483" s="129" t="s">
        <v>1067</v>
      </c>
      <c r="E483" s="87"/>
      <c r="F483" s="88">
        <f>0.44*5*1</f>
        <v>2.2000000000000002</v>
      </c>
      <c r="G483" s="97">
        <v>1</v>
      </c>
      <c r="H483" s="144"/>
      <c r="J483" s="34"/>
      <c r="AQ483" s="123"/>
    </row>
    <row r="484" spans="1:43" s="122" customFormat="1" ht="13.8">
      <c r="A484" s="58" t="s">
        <v>637</v>
      </c>
      <c r="B484" s="44"/>
      <c r="C484" s="151" t="s">
        <v>186</v>
      </c>
      <c r="D484" s="94" t="s">
        <v>1068</v>
      </c>
      <c r="E484" s="87"/>
      <c r="F484" s="88">
        <f>0.205*9*1</f>
        <v>1.845</v>
      </c>
      <c r="G484" s="97">
        <v>1</v>
      </c>
      <c r="H484" s="144"/>
      <c r="J484" s="34"/>
      <c r="AQ484" s="123"/>
    </row>
    <row r="485" spans="1:43" s="122" customFormat="1" ht="13.8">
      <c r="A485" s="58" t="s">
        <v>638</v>
      </c>
      <c r="B485" s="44"/>
      <c r="C485" s="147"/>
      <c r="D485" s="94"/>
      <c r="E485" s="87"/>
      <c r="F485" s="88"/>
      <c r="G485" s="97"/>
      <c r="H485" s="144"/>
      <c r="J485" s="34"/>
      <c r="AQ485" s="123"/>
    </row>
    <row r="486" spans="1:43" s="122" customFormat="1" ht="13.8">
      <c r="A486" s="58" t="s">
        <v>639</v>
      </c>
      <c r="B486" s="44"/>
      <c r="C486" s="141" t="s">
        <v>962</v>
      </c>
      <c r="D486" s="143" t="s">
        <v>1419</v>
      </c>
      <c r="E486" s="87"/>
      <c r="F486" s="88"/>
      <c r="G486" s="97"/>
      <c r="H486" s="144"/>
      <c r="J486" s="34"/>
      <c r="AQ486" s="123"/>
    </row>
    <row r="487" spans="1:43" s="122" customFormat="1" ht="13.8">
      <c r="A487" s="58" t="s">
        <v>641</v>
      </c>
      <c r="B487" s="44"/>
      <c r="C487" s="141" t="s">
        <v>372</v>
      </c>
      <c r="D487" s="94" t="s">
        <v>1051</v>
      </c>
      <c r="E487" s="87"/>
      <c r="F487" s="88">
        <f>0.255*10*1</f>
        <v>2.5499999999999998</v>
      </c>
      <c r="G487" s="97">
        <v>1</v>
      </c>
      <c r="H487" s="121"/>
      <c r="J487" s="34"/>
      <c r="AQ487" s="123"/>
    </row>
    <row r="488" spans="1:43" s="122" customFormat="1" ht="13.8">
      <c r="A488" s="58" t="s">
        <v>643</v>
      </c>
      <c r="B488" s="44"/>
      <c r="C488" s="141" t="s">
        <v>1069</v>
      </c>
      <c r="D488" s="94" t="s">
        <v>1051</v>
      </c>
      <c r="E488" s="87"/>
      <c r="F488" s="88">
        <f t="shared" ref="F488:F490" si="13">0.255*10*1</f>
        <v>2.5499999999999998</v>
      </c>
      <c r="G488" s="97">
        <v>1</v>
      </c>
      <c r="H488" s="121"/>
      <c r="J488" s="34"/>
      <c r="AQ488" s="123"/>
    </row>
    <row r="489" spans="1:43" s="122" customFormat="1" ht="13.8">
      <c r="A489" s="58" t="s">
        <v>644</v>
      </c>
      <c r="B489" s="44"/>
      <c r="C489" s="141" t="s">
        <v>1069</v>
      </c>
      <c r="D489" s="94" t="s">
        <v>1070</v>
      </c>
      <c r="E489" s="87"/>
      <c r="F489" s="88">
        <f t="shared" si="13"/>
        <v>2.5499999999999998</v>
      </c>
      <c r="G489" s="97">
        <v>1</v>
      </c>
      <c r="H489" s="121"/>
      <c r="J489" s="34"/>
      <c r="AQ489" s="123"/>
    </row>
    <row r="490" spans="1:43" s="122" customFormat="1" ht="13.8">
      <c r="A490" s="58" t="s">
        <v>645</v>
      </c>
      <c r="B490" s="44"/>
      <c r="C490" s="141" t="s">
        <v>224</v>
      </c>
      <c r="D490" s="94" t="s">
        <v>1051</v>
      </c>
      <c r="E490" s="87"/>
      <c r="F490" s="88">
        <f t="shared" si="13"/>
        <v>2.5499999999999998</v>
      </c>
      <c r="G490" s="97">
        <v>1</v>
      </c>
      <c r="H490" s="121"/>
      <c r="J490" s="34"/>
      <c r="AQ490" s="123"/>
    </row>
    <row r="491" spans="1:43" s="122" customFormat="1" ht="13.8">
      <c r="A491" s="58" t="s">
        <v>646</v>
      </c>
      <c r="B491" s="44"/>
      <c r="C491" s="141" t="s">
        <v>224</v>
      </c>
      <c r="D491" s="94" t="s">
        <v>250</v>
      </c>
      <c r="E491" s="87"/>
      <c r="F491" s="88">
        <f>0.255*14*1</f>
        <v>3.5700000000000003</v>
      </c>
      <c r="G491" s="97">
        <v>1</v>
      </c>
      <c r="H491" s="121"/>
      <c r="J491" s="34"/>
      <c r="AQ491" s="123"/>
    </row>
    <row r="492" spans="1:43" s="122" customFormat="1" ht="13.8">
      <c r="A492" s="58" t="s">
        <v>648</v>
      </c>
      <c r="B492" s="44"/>
      <c r="C492" s="141" t="s">
        <v>222</v>
      </c>
      <c r="D492" s="94" t="s">
        <v>250</v>
      </c>
      <c r="E492" s="87"/>
      <c r="F492" s="88">
        <f>0.255*14*1</f>
        <v>3.5700000000000003</v>
      </c>
      <c r="G492" s="97">
        <v>1</v>
      </c>
      <c r="H492" s="121"/>
      <c r="J492" s="34"/>
      <c r="AQ492" s="123"/>
    </row>
    <row r="493" spans="1:43" s="122" customFormat="1" ht="27.6">
      <c r="A493" s="58" t="s">
        <v>649</v>
      </c>
      <c r="B493" s="44"/>
      <c r="C493" s="141" t="s">
        <v>1071</v>
      </c>
      <c r="D493" s="94" t="s">
        <v>1420</v>
      </c>
      <c r="E493" s="47"/>
      <c r="F493" s="48"/>
      <c r="G493" s="97"/>
      <c r="H493" s="121"/>
      <c r="J493" s="34"/>
      <c r="AQ493" s="123"/>
    </row>
    <row r="494" spans="1:43" s="122" customFormat="1" ht="13.8">
      <c r="A494" s="58" t="s">
        <v>651</v>
      </c>
      <c r="B494" s="44"/>
      <c r="C494" s="141" t="s">
        <v>1071</v>
      </c>
      <c r="D494" s="94" t="s">
        <v>964</v>
      </c>
      <c r="E494" s="47"/>
      <c r="F494" s="88">
        <f>0.255*20*2</f>
        <v>10.199999999999999</v>
      </c>
      <c r="G494" s="97">
        <v>2</v>
      </c>
      <c r="H494" s="121"/>
      <c r="J494" s="34"/>
      <c r="AQ494" s="123"/>
    </row>
    <row r="495" spans="1:43" s="122" customFormat="1" ht="13.8">
      <c r="A495" s="58" t="s">
        <v>652</v>
      </c>
      <c r="B495" s="44"/>
      <c r="C495" s="141" t="s">
        <v>296</v>
      </c>
      <c r="D495" s="94" t="s">
        <v>250</v>
      </c>
      <c r="E495" s="47"/>
      <c r="F495" s="88">
        <f>0.255*14*1</f>
        <v>3.5700000000000003</v>
      </c>
      <c r="G495" s="97">
        <v>1</v>
      </c>
      <c r="H495" s="121"/>
      <c r="J495" s="34"/>
      <c r="AQ495" s="123"/>
    </row>
    <row r="496" spans="1:43" s="122" customFormat="1" ht="13.8">
      <c r="A496" s="58" t="s">
        <v>653</v>
      </c>
      <c r="B496" s="44"/>
      <c r="C496" s="141" t="s">
        <v>1072</v>
      </c>
      <c r="D496" s="94" t="s">
        <v>1073</v>
      </c>
      <c r="E496" s="87"/>
      <c r="F496" s="88">
        <f>0.205*10*1</f>
        <v>2.0499999999999998</v>
      </c>
      <c r="G496" s="97">
        <v>1</v>
      </c>
      <c r="H496" s="121"/>
      <c r="J496" s="34"/>
      <c r="AQ496" s="123"/>
    </row>
    <row r="497" spans="1:43" s="122" customFormat="1" ht="13.8">
      <c r="A497" s="58" t="s">
        <v>654</v>
      </c>
      <c r="B497" s="44"/>
      <c r="C497" s="145" t="s">
        <v>296</v>
      </c>
      <c r="D497" s="152" t="s">
        <v>1108</v>
      </c>
      <c r="E497" s="47"/>
      <c r="F497" s="48"/>
      <c r="G497" s="49"/>
      <c r="H497" s="121"/>
      <c r="J497" s="34"/>
      <c r="AQ497" s="123"/>
    </row>
    <row r="498" spans="1:43" s="122" customFormat="1" ht="13.8">
      <c r="A498" s="58" t="s">
        <v>655</v>
      </c>
      <c r="B498" s="44"/>
      <c r="C498" s="145"/>
      <c r="D498" s="152"/>
      <c r="E498" s="47"/>
      <c r="F498" s="48"/>
      <c r="G498" s="49"/>
      <c r="H498" s="121"/>
      <c r="J498" s="34"/>
      <c r="AQ498" s="123"/>
    </row>
    <row r="499" spans="1:43" s="122" customFormat="1" ht="13.8">
      <c r="A499" s="58" t="s">
        <v>656</v>
      </c>
      <c r="B499" s="44"/>
      <c r="C499" s="141" t="s">
        <v>962</v>
      </c>
      <c r="D499" s="143" t="s">
        <v>1421</v>
      </c>
      <c r="E499" s="47"/>
      <c r="F499" s="48"/>
      <c r="G499" s="49"/>
      <c r="H499" s="121"/>
      <c r="J499" s="34"/>
      <c r="AQ499" s="123"/>
    </row>
    <row r="500" spans="1:43" s="122" customFormat="1" ht="13.8">
      <c r="A500" s="58" t="s">
        <v>657</v>
      </c>
      <c r="B500" s="44"/>
      <c r="C500" s="141" t="s">
        <v>234</v>
      </c>
      <c r="D500" s="94" t="s">
        <v>259</v>
      </c>
      <c r="E500" s="87"/>
      <c r="F500" s="88">
        <f>0.255*15*1</f>
        <v>3.8250000000000002</v>
      </c>
      <c r="G500" s="97">
        <v>1</v>
      </c>
      <c r="H500" s="121"/>
      <c r="J500" s="34"/>
      <c r="AQ500" s="123"/>
    </row>
    <row r="501" spans="1:43" s="122" customFormat="1" ht="13.8">
      <c r="A501" s="58" t="s">
        <v>658</v>
      </c>
      <c r="B501" s="44"/>
      <c r="C501" s="141" t="s">
        <v>233</v>
      </c>
      <c r="D501" s="94" t="s">
        <v>259</v>
      </c>
      <c r="E501" s="87"/>
      <c r="F501" s="88">
        <f t="shared" ref="F501:F502" si="14">0.255*15*1</f>
        <v>3.8250000000000002</v>
      </c>
      <c r="G501" s="97">
        <v>1</v>
      </c>
      <c r="H501" s="121"/>
      <c r="J501" s="34"/>
      <c r="AQ501" s="123"/>
    </row>
    <row r="502" spans="1:43" s="122" customFormat="1" ht="13.8">
      <c r="A502" s="58" t="s">
        <v>659</v>
      </c>
      <c r="B502" s="44"/>
      <c r="C502" s="141" t="s">
        <v>244</v>
      </c>
      <c r="D502" s="94" t="s">
        <v>259</v>
      </c>
      <c r="E502" s="87"/>
      <c r="F502" s="88">
        <f t="shared" si="14"/>
        <v>3.8250000000000002</v>
      </c>
      <c r="G502" s="97">
        <v>1</v>
      </c>
      <c r="H502" s="121"/>
      <c r="J502" s="34"/>
      <c r="AQ502" s="123"/>
    </row>
    <row r="503" spans="1:43" s="122" customFormat="1" ht="13.8">
      <c r="A503" s="58" t="s">
        <v>660</v>
      </c>
      <c r="B503" s="44"/>
      <c r="C503" s="141" t="s">
        <v>286</v>
      </c>
      <c r="D503" s="94" t="s">
        <v>262</v>
      </c>
      <c r="E503" s="87"/>
      <c r="F503" s="88">
        <f>0.255*16*1</f>
        <v>4.08</v>
      </c>
      <c r="G503" s="97">
        <v>1</v>
      </c>
      <c r="H503" s="121"/>
      <c r="J503" s="34"/>
      <c r="AQ503" s="123"/>
    </row>
    <row r="504" spans="1:43" s="122" customFormat="1" ht="13.8">
      <c r="A504" s="58" t="s">
        <v>661</v>
      </c>
      <c r="B504" s="44"/>
      <c r="C504" s="141" t="s">
        <v>199</v>
      </c>
      <c r="D504" s="129" t="s">
        <v>1074</v>
      </c>
      <c r="E504" s="87"/>
      <c r="F504" s="88">
        <f>0.44*15*1</f>
        <v>6.6</v>
      </c>
      <c r="G504" s="97">
        <v>1</v>
      </c>
      <c r="H504" s="121"/>
      <c r="J504" s="34"/>
      <c r="AQ504" s="123"/>
    </row>
    <row r="505" spans="1:43" s="122" customFormat="1" ht="13.8">
      <c r="A505" s="58" t="s">
        <v>662</v>
      </c>
      <c r="B505" s="44"/>
      <c r="C505" s="141" t="s">
        <v>246</v>
      </c>
      <c r="D505" s="94" t="s">
        <v>968</v>
      </c>
      <c r="E505" s="87"/>
      <c r="F505" s="88">
        <f>0.205*10*1</f>
        <v>2.0499999999999998</v>
      </c>
      <c r="G505" s="97">
        <v>1</v>
      </c>
      <c r="H505" s="121"/>
      <c r="J505" s="34"/>
      <c r="AQ505" s="123"/>
    </row>
    <row r="506" spans="1:43" s="122" customFormat="1" ht="13.8">
      <c r="A506" s="58" t="s">
        <v>663</v>
      </c>
      <c r="B506" s="44"/>
      <c r="C506" s="141" t="s">
        <v>186</v>
      </c>
      <c r="D506" s="94" t="s">
        <v>259</v>
      </c>
      <c r="E506" s="87"/>
      <c r="F506" s="88">
        <f t="shared" ref="F506" si="15">0.255*15*1</f>
        <v>3.8250000000000002</v>
      </c>
      <c r="G506" s="97">
        <v>1</v>
      </c>
      <c r="H506" s="121"/>
      <c r="J506" s="34"/>
      <c r="AQ506" s="123"/>
    </row>
    <row r="507" spans="1:43" s="122" customFormat="1" ht="13.8">
      <c r="A507" s="58" t="s">
        <v>664</v>
      </c>
      <c r="B507" s="44"/>
      <c r="C507" s="141" t="s">
        <v>236</v>
      </c>
      <c r="D507" s="129" t="s">
        <v>1074</v>
      </c>
      <c r="E507" s="87"/>
      <c r="F507" s="88">
        <f>0.44*15*1</f>
        <v>6.6</v>
      </c>
      <c r="G507" s="97">
        <v>1</v>
      </c>
      <c r="H507" s="121"/>
      <c r="J507" s="34"/>
      <c r="AQ507" s="123"/>
    </row>
    <row r="508" spans="1:43" s="122" customFormat="1" ht="13.8">
      <c r="A508" s="58" t="s">
        <v>665</v>
      </c>
      <c r="B508" s="44"/>
      <c r="C508" s="145"/>
      <c r="D508" s="152"/>
      <c r="E508" s="47"/>
      <c r="F508" s="48"/>
      <c r="G508" s="49"/>
      <c r="H508" s="121"/>
      <c r="J508" s="34"/>
      <c r="AQ508" s="123"/>
    </row>
    <row r="509" spans="1:43" s="122" customFormat="1" ht="13.8">
      <c r="A509" s="58" t="s">
        <v>666</v>
      </c>
      <c r="B509" s="44"/>
      <c r="C509" s="141" t="s">
        <v>962</v>
      </c>
      <c r="D509" s="143" t="s">
        <v>1422</v>
      </c>
      <c r="E509" s="47"/>
      <c r="F509" s="48"/>
      <c r="G509" s="49"/>
      <c r="H509" s="121"/>
      <c r="J509" s="34"/>
      <c r="AQ509" s="123"/>
    </row>
    <row r="510" spans="1:43" s="122" customFormat="1" ht="13.8">
      <c r="A510" s="58" t="s">
        <v>667</v>
      </c>
      <c r="B510" s="44"/>
      <c r="C510" s="141" t="s">
        <v>350</v>
      </c>
      <c r="D510" s="94" t="s">
        <v>1051</v>
      </c>
      <c r="E510" s="47"/>
      <c r="F510" s="88">
        <f>0.255*10*1</f>
        <v>2.5499999999999998</v>
      </c>
      <c r="G510" s="97">
        <v>1</v>
      </c>
      <c r="H510" s="121"/>
      <c r="J510" s="34"/>
      <c r="AQ510" s="123"/>
    </row>
    <row r="511" spans="1:43" s="122" customFormat="1" ht="13.8">
      <c r="A511" s="58" t="s">
        <v>668</v>
      </c>
      <c r="B511" s="44"/>
      <c r="C511" s="141" t="s">
        <v>573</v>
      </c>
      <c r="D511" s="94" t="s">
        <v>248</v>
      </c>
      <c r="E511" s="47"/>
      <c r="F511" s="88">
        <f>0.255*12*1</f>
        <v>3.06</v>
      </c>
      <c r="G511" s="97">
        <v>1</v>
      </c>
      <c r="H511" s="121"/>
      <c r="J511" s="34"/>
      <c r="AQ511" s="123"/>
    </row>
    <row r="512" spans="1:43" s="122" customFormat="1" ht="13.8">
      <c r="A512" s="58" t="s">
        <v>669</v>
      </c>
      <c r="B512" s="44"/>
      <c r="C512" s="141" t="s">
        <v>573</v>
      </c>
      <c r="D512" s="94" t="s">
        <v>1022</v>
      </c>
      <c r="E512" s="47"/>
      <c r="F512" s="88">
        <f>0.255*23*1</f>
        <v>5.8650000000000002</v>
      </c>
      <c r="G512" s="97">
        <v>1</v>
      </c>
      <c r="H512" s="121"/>
      <c r="J512" s="34"/>
      <c r="AQ512" s="123"/>
    </row>
    <row r="513" spans="1:43" s="122" customFormat="1" ht="13.8">
      <c r="A513" s="58" t="s">
        <v>673</v>
      </c>
      <c r="B513" s="44"/>
      <c r="C513" s="151" t="s">
        <v>396</v>
      </c>
      <c r="D513" s="94" t="s">
        <v>1066</v>
      </c>
      <c r="E513" s="47"/>
      <c r="F513" s="88">
        <f>0.255*8*1</f>
        <v>2.04</v>
      </c>
      <c r="G513" s="97">
        <v>1</v>
      </c>
      <c r="H513" s="121"/>
      <c r="J513" s="34"/>
      <c r="AQ513" s="123"/>
    </row>
    <row r="514" spans="1:43" s="122" customFormat="1" ht="13.8">
      <c r="A514" s="58" t="s">
        <v>674</v>
      </c>
      <c r="B514" s="44"/>
      <c r="C514" s="151" t="s">
        <v>396</v>
      </c>
      <c r="D514" s="94" t="s">
        <v>1051</v>
      </c>
      <c r="E514" s="47"/>
      <c r="F514" s="88">
        <f>0.255*10*1</f>
        <v>2.5499999999999998</v>
      </c>
      <c r="G514" s="97">
        <v>1</v>
      </c>
      <c r="H514" s="121"/>
      <c r="J514" s="34"/>
      <c r="AQ514" s="123"/>
    </row>
    <row r="515" spans="1:43" s="122" customFormat="1" ht="13.8">
      <c r="A515" s="58" t="s">
        <v>677</v>
      </c>
      <c r="B515" s="44"/>
      <c r="C515" s="151" t="s">
        <v>398</v>
      </c>
      <c r="D515" s="94" t="s">
        <v>1075</v>
      </c>
      <c r="E515" s="87"/>
      <c r="F515" s="88">
        <f>0.205*11*1</f>
        <v>2.2549999999999999</v>
      </c>
      <c r="G515" s="97">
        <v>1</v>
      </c>
      <c r="H515" s="121"/>
      <c r="J515" s="34"/>
      <c r="AQ515" s="123"/>
    </row>
    <row r="516" spans="1:43" s="122" customFormat="1" ht="13.8">
      <c r="A516" s="58" t="s">
        <v>680</v>
      </c>
      <c r="B516" s="44"/>
      <c r="C516" s="151" t="s">
        <v>394</v>
      </c>
      <c r="D516" s="129" t="s">
        <v>1076</v>
      </c>
      <c r="E516" s="87"/>
      <c r="F516" s="88">
        <f>0.44*21*1</f>
        <v>9.24</v>
      </c>
      <c r="G516" s="97">
        <v>1</v>
      </c>
      <c r="H516" s="144"/>
      <c r="J516" s="34"/>
      <c r="AQ516" s="123"/>
    </row>
    <row r="517" spans="1:43" s="122" customFormat="1" ht="13.8">
      <c r="A517" s="58" t="s">
        <v>681</v>
      </c>
      <c r="B517" s="44"/>
      <c r="C517" s="151" t="s">
        <v>393</v>
      </c>
      <c r="D517" s="94" t="s">
        <v>1077</v>
      </c>
      <c r="E517" s="87"/>
      <c r="F517" s="88">
        <f>0.205*6*1</f>
        <v>1.23</v>
      </c>
      <c r="G517" s="97">
        <v>1</v>
      </c>
      <c r="H517" s="144"/>
      <c r="J517" s="34"/>
      <c r="AQ517" s="123"/>
    </row>
    <row r="518" spans="1:43" s="122" customFormat="1" ht="13.8">
      <c r="A518" s="58" t="s">
        <v>683</v>
      </c>
      <c r="B518" s="44"/>
      <c r="C518" s="151" t="s">
        <v>393</v>
      </c>
      <c r="D518" s="94" t="s">
        <v>1078</v>
      </c>
      <c r="E518" s="87"/>
      <c r="F518" s="88">
        <f>0.205*7*1</f>
        <v>1.4349999999999998</v>
      </c>
      <c r="G518" s="97">
        <v>1</v>
      </c>
      <c r="H518" s="144"/>
      <c r="J518" s="34"/>
      <c r="AQ518" s="123"/>
    </row>
    <row r="519" spans="1:43" s="122" customFormat="1" ht="13.8">
      <c r="A519" s="58" t="s">
        <v>684</v>
      </c>
      <c r="B519" s="44"/>
      <c r="C519" s="147"/>
      <c r="D519" s="94"/>
      <c r="E519" s="87"/>
      <c r="F519" s="88"/>
      <c r="G519" s="97"/>
      <c r="H519" s="144"/>
      <c r="J519" s="34"/>
      <c r="AQ519" s="123"/>
    </row>
    <row r="520" spans="1:43" s="122" customFormat="1" ht="13.8">
      <c r="A520" s="58" t="s">
        <v>685</v>
      </c>
      <c r="B520" s="44"/>
      <c r="C520" s="141" t="s">
        <v>962</v>
      </c>
      <c r="D520" s="143" t="s">
        <v>1423</v>
      </c>
      <c r="E520" s="87"/>
      <c r="F520" s="88"/>
      <c r="G520" s="97"/>
      <c r="H520" s="144"/>
      <c r="J520" s="34"/>
      <c r="AQ520" s="123"/>
    </row>
    <row r="521" spans="1:43" s="122" customFormat="1" ht="13.8">
      <c r="A521" s="58" t="s">
        <v>687</v>
      </c>
      <c r="B521" s="44"/>
      <c r="C521" s="151" t="s">
        <v>496</v>
      </c>
      <c r="D521" s="94" t="s">
        <v>973</v>
      </c>
      <c r="E521" s="47"/>
      <c r="F521" s="88">
        <f>0.255*18*1</f>
        <v>4.59</v>
      </c>
      <c r="G521" s="97">
        <v>1</v>
      </c>
      <c r="H521" s="144"/>
      <c r="J521" s="34"/>
      <c r="AQ521" s="123"/>
    </row>
    <row r="522" spans="1:43" s="122" customFormat="1" ht="13.8">
      <c r="A522" s="58" t="s">
        <v>688</v>
      </c>
      <c r="B522" s="44"/>
      <c r="C522" s="151" t="s">
        <v>526</v>
      </c>
      <c r="D522" s="94" t="s">
        <v>248</v>
      </c>
      <c r="E522" s="47"/>
      <c r="F522" s="88">
        <f>0.255*12*1</f>
        <v>3.06</v>
      </c>
      <c r="G522" s="97">
        <v>1</v>
      </c>
      <c r="H522" s="144"/>
      <c r="J522" s="34"/>
      <c r="AQ522" s="123"/>
    </row>
    <row r="523" spans="1:43" s="122" customFormat="1" ht="13.8">
      <c r="A523" s="58" t="s">
        <v>689</v>
      </c>
      <c r="B523" s="44"/>
      <c r="C523" s="151" t="s">
        <v>526</v>
      </c>
      <c r="D523" s="94" t="s">
        <v>250</v>
      </c>
      <c r="E523" s="47"/>
      <c r="F523" s="88">
        <f>0.255*14*1</f>
        <v>3.5700000000000003</v>
      </c>
      <c r="G523" s="97">
        <v>1</v>
      </c>
      <c r="H523" s="144"/>
      <c r="J523" s="34"/>
      <c r="AQ523" s="123"/>
    </row>
    <row r="524" spans="1:43" s="122" customFormat="1" ht="13.8">
      <c r="A524" s="58" t="s">
        <v>690</v>
      </c>
      <c r="B524" s="44"/>
      <c r="C524" s="151" t="s">
        <v>527</v>
      </c>
      <c r="D524" s="94" t="s">
        <v>1079</v>
      </c>
      <c r="E524" s="47"/>
      <c r="F524" s="88">
        <f>0.255*9*1</f>
        <v>2.2949999999999999</v>
      </c>
      <c r="G524" s="97">
        <v>1</v>
      </c>
      <c r="H524" s="144"/>
      <c r="J524" s="34"/>
      <c r="AQ524" s="123"/>
    </row>
    <row r="525" spans="1:43" s="122" customFormat="1" ht="13.8">
      <c r="A525" s="58" t="s">
        <v>691</v>
      </c>
      <c r="B525" s="44"/>
      <c r="C525" s="151" t="s">
        <v>527</v>
      </c>
      <c r="D525" s="94" t="s">
        <v>978</v>
      </c>
      <c r="E525" s="47"/>
      <c r="F525" s="88">
        <f>0.255*19*1</f>
        <v>4.8449999999999998</v>
      </c>
      <c r="G525" s="97">
        <v>1</v>
      </c>
      <c r="H525" s="144"/>
      <c r="J525" s="34"/>
      <c r="AQ525" s="123"/>
    </row>
    <row r="526" spans="1:43" s="122" customFormat="1" ht="13.8">
      <c r="A526" s="58" t="s">
        <v>693</v>
      </c>
      <c r="B526" s="44"/>
      <c r="C526" s="151" t="s">
        <v>455</v>
      </c>
      <c r="D526" s="94" t="s">
        <v>250</v>
      </c>
      <c r="E526" s="47"/>
      <c r="F526" s="88">
        <f>0.255*14*1</f>
        <v>3.5700000000000003</v>
      </c>
      <c r="G526" s="97">
        <v>1</v>
      </c>
      <c r="H526" s="144"/>
      <c r="J526" s="34"/>
      <c r="AQ526" s="123"/>
    </row>
    <row r="527" spans="1:43" s="122" customFormat="1" ht="13.8">
      <c r="A527" s="58" t="s">
        <v>695</v>
      </c>
      <c r="B527" s="44"/>
      <c r="C527" s="147"/>
      <c r="D527" s="94"/>
      <c r="E527" s="87"/>
      <c r="F527" s="88"/>
      <c r="G527" s="97"/>
      <c r="H527" s="144"/>
      <c r="J527" s="34"/>
      <c r="AQ527" s="123"/>
    </row>
    <row r="528" spans="1:43" s="122" customFormat="1" ht="13.8">
      <c r="A528" s="58" t="s">
        <v>696</v>
      </c>
      <c r="B528" s="44"/>
      <c r="C528" s="145"/>
      <c r="D528" s="140" t="s">
        <v>1080</v>
      </c>
      <c r="E528" s="87"/>
      <c r="F528" s="88"/>
      <c r="G528" s="97"/>
      <c r="H528" s="144"/>
      <c r="J528" s="34"/>
      <c r="AQ528" s="123"/>
    </row>
    <row r="529" spans="1:43" s="122" customFormat="1" ht="13.8">
      <c r="A529" s="58" t="s">
        <v>697</v>
      </c>
      <c r="B529" s="44"/>
      <c r="C529" s="145"/>
      <c r="D529" s="107" t="s">
        <v>1424</v>
      </c>
      <c r="E529" s="47" t="s">
        <v>41</v>
      </c>
      <c r="F529" s="49">
        <f>SUM(F531:F563)</f>
        <v>135.53500000000003</v>
      </c>
      <c r="G529" s="97"/>
      <c r="H529" s="144"/>
      <c r="J529" s="34"/>
      <c r="AQ529" s="123"/>
    </row>
    <row r="530" spans="1:43" s="122" customFormat="1" ht="13.8">
      <c r="A530" s="58" t="s">
        <v>700</v>
      </c>
      <c r="B530" s="44"/>
      <c r="C530" s="141" t="s">
        <v>962</v>
      </c>
      <c r="D530" s="143" t="s">
        <v>1084</v>
      </c>
      <c r="E530" s="87"/>
      <c r="F530" s="88"/>
      <c r="G530" s="97"/>
      <c r="H530" s="144"/>
      <c r="J530" s="34"/>
      <c r="AQ530" s="123"/>
    </row>
    <row r="531" spans="1:43" s="122" customFormat="1" ht="13.8">
      <c r="A531" s="58" t="s">
        <v>703</v>
      </c>
      <c r="B531" s="44"/>
      <c r="C531" s="151" t="s">
        <v>1081</v>
      </c>
      <c r="D531" s="94" t="s">
        <v>259</v>
      </c>
      <c r="E531" s="87"/>
      <c r="F531" s="88">
        <f>0.255*15*1</f>
        <v>3.8250000000000002</v>
      </c>
      <c r="G531" s="97">
        <v>1</v>
      </c>
      <c r="H531" s="144"/>
      <c r="J531" s="34"/>
      <c r="AQ531" s="123"/>
    </row>
    <row r="532" spans="1:43" s="122" customFormat="1" ht="13.8">
      <c r="A532" s="58" t="s">
        <v>705</v>
      </c>
      <c r="B532" s="44"/>
      <c r="C532" s="151" t="s">
        <v>1081</v>
      </c>
      <c r="D532" s="94" t="s">
        <v>1051</v>
      </c>
      <c r="E532" s="87"/>
      <c r="F532" s="88">
        <f>0.255*10*1</f>
        <v>2.5499999999999998</v>
      </c>
      <c r="G532" s="97">
        <v>1</v>
      </c>
      <c r="H532" s="144"/>
      <c r="J532" s="34"/>
      <c r="AQ532" s="123"/>
    </row>
    <row r="533" spans="1:43" s="122" customFormat="1" ht="13.8">
      <c r="A533" s="58" t="s">
        <v>708</v>
      </c>
      <c r="B533" s="44"/>
      <c r="C533" s="151" t="s">
        <v>182</v>
      </c>
      <c r="D533" s="94" t="s">
        <v>1082</v>
      </c>
      <c r="E533" s="87"/>
      <c r="F533" s="88">
        <f>0.255*10*2</f>
        <v>5.0999999999999996</v>
      </c>
      <c r="G533" s="97">
        <v>2</v>
      </c>
      <c r="H533" s="144"/>
      <c r="J533" s="34"/>
      <c r="AQ533" s="123"/>
    </row>
    <row r="534" spans="1:43" s="122" customFormat="1" ht="13.8">
      <c r="A534" s="58" t="s">
        <v>710</v>
      </c>
      <c r="B534" s="44"/>
      <c r="C534" s="151" t="s">
        <v>282</v>
      </c>
      <c r="D534" s="94" t="s">
        <v>1083</v>
      </c>
      <c r="E534" s="87"/>
      <c r="F534" s="88">
        <f>0.255*10*3</f>
        <v>7.6499999999999995</v>
      </c>
      <c r="G534" s="97">
        <v>3</v>
      </c>
      <c r="H534" s="144"/>
      <c r="J534" s="34"/>
      <c r="AQ534" s="123"/>
    </row>
    <row r="535" spans="1:43" s="122" customFormat="1" ht="13.8">
      <c r="A535" s="58" t="s">
        <v>712</v>
      </c>
      <c r="B535" s="44"/>
      <c r="C535" s="151" t="s">
        <v>282</v>
      </c>
      <c r="D535" s="94" t="s">
        <v>989</v>
      </c>
      <c r="E535" s="87"/>
      <c r="F535" s="88">
        <f>0.255*20*1</f>
        <v>5.0999999999999996</v>
      </c>
      <c r="G535" s="97">
        <v>1</v>
      </c>
      <c r="H535" s="144"/>
      <c r="J535" s="34"/>
      <c r="AQ535" s="123"/>
    </row>
    <row r="536" spans="1:43" s="122" customFormat="1" ht="13.8">
      <c r="A536" s="58" t="s">
        <v>713</v>
      </c>
      <c r="B536" s="44"/>
      <c r="C536" s="147"/>
      <c r="D536" s="94"/>
      <c r="E536" s="87"/>
      <c r="F536" s="88"/>
      <c r="G536" s="97"/>
      <c r="H536" s="144"/>
      <c r="J536" s="34"/>
      <c r="AQ536" s="123"/>
    </row>
    <row r="537" spans="1:43" s="122" customFormat="1" ht="13.8">
      <c r="A537" s="58" t="s">
        <v>715</v>
      </c>
      <c r="B537" s="44"/>
      <c r="C537" s="141" t="s">
        <v>962</v>
      </c>
      <c r="D537" s="143" t="s">
        <v>1085</v>
      </c>
      <c r="E537" s="87"/>
      <c r="F537" s="88"/>
      <c r="G537" s="97"/>
      <c r="H537" s="144"/>
      <c r="J537" s="34"/>
      <c r="AQ537" s="123"/>
    </row>
    <row r="538" spans="1:43" s="122" customFormat="1" ht="13.8">
      <c r="A538" s="58" t="s">
        <v>717</v>
      </c>
      <c r="B538" s="44"/>
      <c r="C538" s="151" t="s">
        <v>301</v>
      </c>
      <c r="D538" s="94" t="s">
        <v>1082</v>
      </c>
      <c r="E538" s="87"/>
      <c r="F538" s="88">
        <f>0.255*10*2</f>
        <v>5.0999999999999996</v>
      </c>
      <c r="G538" s="97">
        <v>2</v>
      </c>
      <c r="H538" s="144"/>
      <c r="J538" s="34"/>
      <c r="AQ538" s="123"/>
    </row>
    <row r="539" spans="1:43" s="122" customFormat="1" ht="13.8">
      <c r="A539" s="58" t="s">
        <v>719</v>
      </c>
      <c r="B539" s="44"/>
      <c r="C539" s="151" t="s">
        <v>1060</v>
      </c>
      <c r="D539" s="94" t="s">
        <v>1086</v>
      </c>
      <c r="E539" s="87"/>
      <c r="F539" s="88">
        <f>0.255*10*4</f>
        <v>10.199999999999999</v>
      </c>
      <c r="G539" s="97">
        <v>4</v>
      </c>
      <c r="H539" s="144"/>
      <c r="J539" s="34"/>
      <c r="AQ539" s="123"/>
    </row>
    <row r="540" spans="1:43" s="122" customFormat="1" ht="13.8">
      <c r="A540" s="58" t="s">
        <v>721</v>
      </c>
      <c r="B540" s="44"/>
      <c r="C540" s="151" t="s">
        <v>1060</v>
      </c>
      <c r="D540" s="94" t="s">
        <v>1053</v>
      </c>
      <c r="E540" s="87"/>
      <c r="F540" s="88">
        <f>0.255*11*1</f>
        <v>2.8050000000000002</v>
      </c>
      <c r="G540" s="97">
        <v>1</v>
      </c>
      <c r="H540" s="144"/>
      <c r="J540" s="34"/>
      <c r="AQ540" s="123"/>
    </row>
    <row r="541" spans="1:43" s="122" customFormat="1" ht="13.8">
      <c r="A541" s="58" t="s">
        <v>723</v>
      </c>
      <c r="B541" s="44"/>
      <c r="C541" s="147"/>
      <c r="D541" s="94"/>
      <c r="E541" s="87"/>
      <c r="F541" s="88"/>
      <c r="G541" s="97"/>
      <c r="H541" s="144"/>
      <c r="J541" s="34"/>
      <c r="AQ541" s="123"/>
    </row>
    <row r="542" spans="1:43" s="122" customFormat="1" ht="13.8">
      <c r="A542" s="58" t="s">
        <v>725</v>
      </c>
      <c r="B542" s="44"/>
      <c r="C542" s="141" t="s">
        <v>962</v>
      </c>
      <c r="D542" s="143" t="s">
        <v>1087</v>
      </c>
      <c r="E542" s="87"/>
      <c r="F542" s="88"/>
      <c r="G542" s="97"/>
      <c r="H542" s="144"/>
      <c r="J542" s="34"/>
      <c r="AQ542" s="123"/>
    </row>
    <row r="543" spans="1:43" s="122" customFormat="1" ht="13.8">
      <c r="A543" s="58" t="s">
        <v>727</v>
      </c>
      <c r="B543" s="44"/>
      <c r="C543" s="151" t="s">
        <v>236</v>
      </c>
      <c r="D543" s="94" t="s">
        <v>989</v>
      </c>
      <c r="E543" s="87"/>
      <c r="F543" s="88">
        <f>0.255*20*1</f>
        <v>5.0999999999999996</v>
      </c>
      <c r="G543" s="97">
        <v>1</v>
      </c>
      <c r="H543" s="144"/>
      <c r="J543" s="34"/>
      <c r="AQ543" s="123"/>
    </row>
    <row r="544" spans="1:43" s="122" customFormat="1" ht="13.8">
      <c r="A544" s="58" t="s">
        <v>729</v>
      </c>
      <c r="B544" s="44"/>
      <c r="C544" s="151" t="s">
        <v>236</v>
      </c>
      <c r="D544" s="94" t="s">
        <v>1079</v>
      </c>
      <c r="E544" s="87"/>
      <c r="F544" s="88">
        <f>0.255*9*1</f>
        <v>2.2949999999999999</v>
      </c>
      <c r="G544" s="97">
        <v>1</v>
      </c>
      <c r="H544" s="144"/>
      <c r="J544" s="34"/>
      <c r="AQ544" s="123"/>
    </row>
    <row r="545" spans="1:43" s="122" customFormat="1" ht="13.8">
      <c r="A545" s="58" t="s">
        <v>730</v>
      </c>
      <c r="B545" s="44"/>
      <c r="C545" s="151" t="s">
        <v>234</v>
      </c>
      <c r="D545" s="94" t="s">
        <v>1086</v>
      </c>
      <c r="E545" s="87"/>
      <c r="F545" s="88">
        <f>0.255*10*4</f>
        <v>10.199999999999999</v>
      </c>
      <c r="G545" s="97">
        <v>4</v>
      </c>
      <c r="H545" s="144"/>
      <c r="J545" s="34"/>
      <c r="AQ545" s="123"/>
    </row>
    <row r="546" spans="1:43" s="122" customFormat="1" ht="13.8">
      <c r="A546" s="58" t="s">
        <v>732</v>
      </c>
      <c r="B546" s="44"/>
      <c r="C546" s="151" t="s">
        <v>184</v>
      </c>
      <c r="D546" s="94" t="s">
        <v>1017</v>
      </c>
      <c r="E546" s="87"/>
      <c r="F546" s="88">
        <f>0.255*25*2</f>
        <v>12.75</v>
      </c>
      <c r="G546" s="97">
        <v>2</v>
      </c>
      <c r="H546" s="144"/>
      <c r="J546" s="34"/>
      <c r="AQ546" s="123"/>
    </row>
    <row r="547" spans="1:43" s="122" customFormat="1" ht="13.8">
      <c r="A547" s="58" t="s">
        <v>734</v>
      </c>
      <c r="B547" s="44"/>
      <c r="C547" s="147"/>
      <c r="D547" s="94"/>
      <c r="E547" s="87"/>
      <c r="F547" s="88"/>
      <c r="G547" s="97"/>
      <c r="H547" s="144"/>
      <c r="J547" s="34"/>
      <c r="AQ547" s="123"/>
    </row>
    <row r="548" spans="1:43" s="122" customFormat="1" ht="13.8">
      <c r="A548" s="58" t="s">
        <v>736</v>
      </c>
      <c r="B548" s="44"/>
      <c r="C548" s="141" t="s">
        <v>962</v>
      </c>
      <c r="D548" s="143" t="s">
        <v>1088</v>
      </c>
      <c r="E548" s="87"/>
      <c r="F548" s="88"/>
      <c r="G548" s="97"/>
      <c r="H548" s="144"/>
      <c r="J548" s="34"/>
      <c r="AQ548" s="123"/>
    </row>
    <row r="549" spans="1:43" s="122" customFormat="1" ht="13.8">
      <c r="A549" s="58" t="s">
        <v>738</v>
      </c>
      <c r="B549" s="44"/>
      <c r="C549" s="151" t="s">
        <v>391</v>
      </c>
      <c r="D549" s="94" t="s">
        <v>1089</v>
      </c>
      <c r="E549" s="87"/>
      <c r="F549" s="88">
        <f>0.255*11*2</f>
        <v>5.61</v>
      </c>
      <c r="G549" s="97">
        <v>2</v>
      </c>
      <c r="H549" s="144"/>
      <c r="J549" s="34"/>
      <c r="AQ549" s="123"/>
    </row>
    <row r="550" spans="1:43" s="122" customFormat="1" ht="13.8">
      <c r="A550" s="58" t="s">
        <v>739</v>
      </c>
      <c r="B550" s="44"/>
      <c r="C550" s="151" t="s">
        <v>383</v>
      </c>
      <c r="D550" s="94" t="s">
        <v>1089</v>
      </c>
      <c r="E550" s="87"/>
      <c r="F550" s="88">
        <f>0.255*11*2</f>
        <v>5.61</v>
      </c>
      <c r="G550" s="97">
        <v>2</v>
      </c>
      <c r="H550" s="144"/>
      <c r="J550" s="34"/>
      <c r="AQ550" s="123"/>
    </row>
    <row r="551" spans="1:43" s="122" customFormat="1" ht="13.8">
      <c r="A551" s="58" t="s">
        <v>741</v>
      </c>
      <c r="B551" s="44"/>
      <c r="C551" s="151" t="s">
        <v>389</v>
      </c>
      <c r="D551" s="94" t="s">
        <v>1082</v>
      </c>
      <c r="E551" s="87"/>
      <c r="F551" s="88">
        <f>0.255*10*2</f>
        <v>5.0999999999999996</v>
      </c>
      <c r="G551" s="97">
        <v>2</v>
      </c>
      <c r="H551" s="144"/>
      <c r="J551" s="34"/>
      <c r="AQ551" s="123"/>
    </row>
    <row r="552" spans="1:43" s="122" customFormat="1" ht="13.8">
      <c r="A552" s="58" t="s">
        <v>742</v>
      </c>
      <c r="B552" s="44"/>
      <c r="C552" s="151" t="s">
        <v>349</v>
      </c>
      <c r="D552" s="129" t="s">
        <v>1090</v>
      </c>
      <c r="E552" s="87"/>
      <c r="F552" s="88">
        <f>0.185*20*1</f>
        <v>3.7</v>
      </c>
      <c r="G552" s="97">
        <v>1</v>
      </c>
      <c r="H552" s="144"/>
      <c r="J552" s="34"/>
      <c r="AQ552" s="123"/>
    </row>
    <row r="553" spans="1:43" s="122" customFormat="1" ht="13.8">
      <c r="A553" s="58" t="s">
        <v>743</v>
      </c>
      <c r="B553" s="44"/>
      <c r="C553" s="147"/>
      <c r="D553" s="94"/>
      <c r="E553" s="87"/>
      <c r="F553" s="88"/>
      <c r="G553" s="97"/>
      <c r="H553" s="144"/>
      <c r="J553" s="34"/>
      <c r="AQ553" s="123"/>
    </row>
    <row r="554" spans="1:43" s="122" customFormat="1" ht="13.8">
      <c r="A554" s="58" t="s">
        <v>745</v>
      </c>
      <c r="B554" s="44"/>
      <c r="C554" s="141" t="s">
        <v>962</v>
      </c>
      <c r="D554" s="143" t="s">
        <v>1091</v>
      </c>
      <c r="E554" s="87"/>
      <c r="F554" s="88"/>
      <c r="G554" s="97"/>
      <c r="H554" s="144"/>
      <c r="J554" s="34"/>
      <c r="AQ554" s="123"/>
    </row>
    <row r="555" spans="1:43" s="122" customFormat="1" ht="13.8">
      <c r="A555" s="58" t="s">
        <v>747</v>
      </c>
      <c r="B555" s="44"/>
      <c r="C555" s="151" t="s">
        <v>527</v>
      </c>
      <c r="D555" s="94" t="s">
        <v>989</v>
      </c>
      <c r="E555" s="87"/>
      <c r="F555" s="88">
        <f>0.255*20*1</f>
        <v>5.0999999999999996</v>
      </c>
      <c r="G555" s="97">
        <v>1</v>
      </c>
      <c r="H555" s="144"/>
      <c r="J555" s="34"/>
      <c r="AQ555" s="123"/>
    </row>
    <row r="556" spans="1:43" s="122" customFormat="1" ht="13.8">
      <c r="A556" s="58" t="s">
        <v>748</v>
      </c>
      <c r="B556" s="44"/>
      <c r="C556" s="151" t="s">
        <v>527</v>
      </c>
      <c r="D556" s="94" t="s">
        <v>259</v>
      </c>
      <c r="E556" s="87"/>
      <c r="F556" s="88">
        <f>0.255*15*1</f>
        <v>3.8250000000000002</v>
      </c>
      <c r="G556" s="97">
        <v>1</v>
      </c>
      <c r="H556" s="144"/>
      <c r="J556" s="34"/>
      <c r="AQ556" s="123"/>
    </row>
    <row r="557" spans="1:43" s="122" customFormat="1" ht="13.8">
      <c r="A557" s="58" t="s">
        <v>750</v>
      </c>
      <c r="B557" s="44"/>
      <c r="C557" s="151" t="s">
        <v>526</v>
      </c>
      <c r="D557" s="94" t="s">
        <v>1051</v>
      </c>
      <c r="E557" s="87"/>
      <c r="F557" s="88">
        <f>0.255*10*1</f>
        <v>2.5499999999999998</v>
      </c>
      <c r="G557" s="97">
        <v>1</v>
      </c>
      <c r="H557" s="144"/>
      <c r="J557" s="34"/>
      <c r="AQ557" s="123"/>
    </row>
    <row r="558" spans="1:43" s="122" customFormat="1" ht="13.8">
      <c r="A558" s="58" t="s">
        <v>752</v>
      </c>
      <c r="B558" s="44"/>
      <c r="C558" s="151" t="s">
        <v>526</v>
      </c>
      <c r="D558" s="94" t="s">
        <v>1092</v>
      </c>
      <c r="E558" s="87"/>
      <c r="F558" s="88">
        <f>0.255*14*3</f>
        <v>10.71</v>
      </c>
      <c r="G558" s="97">
        <v>3</v>
      </c>
      <c r="H558" s="144"/>
      <c r="J558" s="34"/>
      <c r="AQ558" s="123"/>
    </row>
    <row r="559" spans="1:43" s="122" customFormat="1" ht="13.8">
      <c r="A559" s="58" t="s">
        <v>753</v>
      </c>
      <c r="B559" s="44"/>
      <c r="C559" s="151" t="s">
        <v>495</v>
      </c>
      <c r="D559" s="94" t="s">
        <v>259</v>
      </c>
      <c r="E559" s="87"/>
      <c r="F559" s="88">
        <f>0.255*15*1</f>
        <v>3.8250000000000002</v>
      </c>
      <c r="G559" s="97">
        <v>1</v>
      </c>
      <c r="H559" s="144"/>
      <c r="J559" s="34"/>
      <c r="AQ559" s="123"/>
    </row>
    <row r="560" spans="1:43" s="122" customFormat="1" ht="13.8">
      <c r="A560" s="58" t="s">
        <v>754</v>
      </c>
      <c r="B560" s="44"/>
      <c r="C560" s="151" t="s">
        <v>494</v>
      </c>
      <c r="D560" s="94" t="s">
        <v>973</v>
      </c>
      <c r="E560" s="87"/>
      <c r="F560" s="88">
        <f>0.255*18*1</f>
        <v>4.59</v>
      </c>
      <c r="G560" s="97">
        <v>1</v>
      </c>
      <c r="H560" s="144"/>
      <c r="J560" s="34"/>
      <c r="AQ560" s="123"/>
    </row>
    <row r="561" spans="1:43" s="122" customFormat="1" ht="13.8">
      <c r="A561" s="58" t="s">
        <v>755</v>
      </c>
      <c r="B561" s="44"/>
      <c r="C561" s="151" t="s">
        <v>493</v>
      </c>
      <c r="D561" s="94" t="s">
        <v>973</v>
      </c>
      <c r="E561" s="87"/>
      <c r="F561" s="88">
        <f>0.255*18*1</f>
        <v>4.59</v>
      </c>
      <c r="G561" s="97">
        <v>1</v>
      </c>
      <c r="H561" s="144"/>
      <c r="J561" s="34"/>
      <c r="AQ561" s="123"/>
    </row>
    <row r="562" spans="1:43" s="122" customFormat="1" ht="13.8">
      <c r="A562" s="58" t="s">
        <v>756</v>
      </c>
      <c r="B562" s="44"/>
      <c r="C562" s="151" t="s">
        <v>492</v>
      </c>
      <c r="D562" s="94" t="s">
        <v>1082</v>
      </c>
      <c r="E562" s="87"/>
      <c r="F562" s="88">
        <f>0.255*10*2</f>
        <v>5.0999999999999996</v>
      </c>
      <c r="G562" s="97">
        <v>2</v>
      </c>
      <c r="H562" s="144"/>
      <c r="J562" s="34"/>
      <c r="AQ562" s="123"/>
    </row>
    <row r="563" spans="1:43" s="122" customFormat="1" ht="13.8">
      <c r="A563" s="58" t="s">
        <v>757</v>
      </c>
      <c r="B563" s="44"/>
      <c r="C563" s="151" t="s">
        <v>490</v>
      </c>
      <c r="D563" s="94" t="s">
        <v>1051</v>
      </c>
      <c r="E563" s="87"/>
      <c r="F563" s="88">
        <f>0.255*10*1</f>
        <v>2.5499999999999998</v>
      </c>
      <c r="G563" s="97">
        <v>1</v>
      </c>
      <c r="H563" s="144"/>
      <c r="J563" s="34"/>
      <c r="AQ563" s="123"/>
    </row>
    <row r="564" spans="1:43" s="122" customFormat="1" ht="13.8">
      <c r="A564" s="58" t="s">
        <v>759</v>
      </c>
      <c r="B564" s="44"/>
      <c r="C564" s="147"/>
      <c r="D564" s="94"/>
      <c r="E564" s="87"/>
      <c r="F564" s="88"/>
      <c r="G564" s="97"/>
      <c r="H564" s="144"/>
      <c r="J564" s="34"/>
      <c r="AQ564" s="123"/>
    </row>
    <row r="565" spans="1:43" s="122" customFormat="1" ht="13.8">
      <c r="A565" s="58" t="s">
        <v>760</v>
      </c>
      <c r="B565" s="44"/>
      <c r="C565" s="145"/>
      <c r="D565" s="140" t="s">
        <v>1093</v>
      </c>
      <c r="E565" s="87"/>
      <c r="F565" s="88"/>
      <c r="G565" s="97"/>
      <c r="H565" s="144"/>
      <c r="J565" s="34"/>
      <c r="AQ565" s="123"/>
    </row>
    <row r="566" spans="1:43" s="122" customFormat="1" ht="13.8">
      <c r="A566" s="58" t="s">
        <v>761</v>
      </c>
      <c r="B566" s="44"/>
      <c r="C566" s="145"/>
      <c r="D566" s="107" t="s">
        <v>1425</v>
      </c>
      <c r="E566" s="47" t="s">
        <v>41</v>
      </c>
      <c r="F566" s="98">
        <f>SUM(F568:F594)</f>
        <v>70.655000000000001</v>
      </c>
      <c r="G566" s="97"/>
      <c r="H566" s="144"/>
      <c r="J566" s="34"/>
      <c r="AQ566" s="123"/>
    </row>
    <row r="567" spans="1:43" s="122" customFormat="1" ht="13.8">
      <c r="A567" s="58" t="s">
        <v>763</v>
      </c>
      <c r="B567" s="44"/>
      <c r="C567" s="147"/>
      <c r="D567" s="94"/>
      <c r="E567" s="87"/>
      <c r="F567" s="48"/>
      <c r="G567" s="97"/>
      <c r="H567" s="144"/>
      <c r="J567" s="34"/>
      <c r="AQ567" s="123"/>
    </row>
    <row r="568" spans="1:43" s="122" customFormat="1" ht="13.8">
      <c r="A568" s="58" t="s">
        <v>765</v>
      </c>
      <c r="B568" s="44"/>
      <c r="C568" s="141" t="s">
        <v>962</v>
      </c>
      <c r="D568" s="143" t="s">
        <v>1094</v>
      </c>
      <c r="E568" s="87"/>
      <c r="F568" s="48"/>
      <c r="G568" s="97"/>
      <c r="H568" s="144"/>
      <c r="J568" s="34"/>
      <c r="AQ568" s="123"/>
    </row>
    <row r="569" spans="1:43" s="122" customFormat="1" ht="13.8">
      <c r="A569" s="58" t="s">
        <v>766</v>
      </c>
      <c r="B569" s="44"/>
      <c r="C569" s="151" t="s">
        <v>289</v>
      </c>
      <c r="D569" s="129" t="s">
        <v>989</v>
      </c>
      <c r="E569" s="87"/>
      <c r="F569" s="88">
        <f>0.255*20*1</f>
        <v>5.0999999999999996</v>
      </c>
      <c r="G569" s="97">
        <v>1</v>
      </c>
      <c r="H569" s="144"/>
      <c r="J569" s="34"/>
      <c r="AQ569" s="123"/>
    </row>
    <row r="570" spans="1:43" s="122" customFormat="1" ht="13.8">
      <c r="A570" s="58" t="s">
        <v>767</v>
      </c>
      <c r="B570" s="44"/>
      <c r="C570" s="151" t="s">
        <v>291</v>
      </c>
      <c r="D570" s="129" t="s">
        <v>250</v>
      </c>
      <c r="E570" s="87"/>
      <c r="F570" s="88">
        <f>0.255*14*1</f>
        <v>3.5700000000000003</v>
      </c>
      <c r="G570" s="97">
        <v>1</v>
      </c>
      <c r="H570" s="144"/>
      <c r="J570" s="34"/>
      <c r="AQ570" s="123"/>
    </row>
    <row r="571" spans="1:43" s="122" customFormat="1" ht="13.8">
      <c r="A571" s="58" t="s">
        <v>769</v>
      </c>
      <c r="B571" s="44"/>
      <c r="C571" s="151" t="s">
        <v>293</v>
      </c>
      <c r="D571" s="129" t="s">
        <v>973</v>
      </c>
      <c r="E571" s="87"/>
      <c r="F571" s="88">
        <f>0.255*18*1</f>
        <v>4.59</v>
      </c>
      <c r="G571" s="97">
        <v>1</v>
      </c>
      <c r="H571" s="144"/>
      <c r="J571" s="34"/>
      <c r="AQ571" s="123"/>
    </row>
    <row r="572" spans="1:43" s="122" customFormat="1" ht="13.8">
      <c r="A572" s="58" t="s">
        <v>771</v>
      </c>
      <c r="B572" s="44"/>
      <c r="C572" s="151" t="s">
        <v>296</v>
      </c>
      <c r="D572" s="129" t="s">
        <v>974</v>
      </c>
      <c r="E572" s="87"/>
      <c r="F572" s="88">
        <f>0.255*17*1</f>
        <v>4.335</v>
      </c>
      <c r="G572" s="97">
        <v>1</v>
      </c>
      <c r="H572" s="144"/>
      <c r="J572" s="34"/>
      <c r="AQ572" s="123"/>
    </row>
    <row r="573" spans="1:43" s="122" customFormat="1" ht="13.8">
      <c r="A573" s="58" t="s">
        <v>773</v>
      </c>
      <c r="B573" s="44"/>
      <c r="C573" s="151" t="s">
        <v>224</v>
      </c>
      <c r="D573" s="129" t="s">
        <v>974</v>
      </c>
      <c r="E573" s="87"/>
      <c r="F573" s="88">
        <f>0.255*17*1</f>
        <v>4.335</v>
      </c>
      <c r="G573" s="97">
        <v>1</v>
      </c>
      <c r="H573" s="144"/>
      <c r="J573" s="34"/>
      <c r="AQ573" s="123"/>
    </row>
    <row r="574" spans="1:43" s="122" customFormat="1" ht="13.8">
      <c r="A574" s="58" t="s">
        <v>774</v>
      </c>
      <c r="B574" s="44"/>
      <c r="C574" s="151" t="s">
        <v>301</v>
      </c>
      <c r="D574" s="129" t="s">
        <v>973</v>
      </c>
      <c r="E574" s="87"/>
      <c r="F574" s="88">
        <f>0.255*18*1</f>
        <v>4.59</v>
      </c>
      <c r="G574" s="97">
        <v>1</v>
      </c>
      <c r="H574" s="144"/>
      <c r="J574" s="34"/>
      <c r="AQ574" s="123"/>
    </row>
    <row r="575" spans="1:43" s="122" customFormat="1" ht="13.8">
      <c r="A575" s="58" t="s">
        <v>775</v>
      </c>
      <c r="B575" s="44"/>
      <c r="C575" s="147" t="s">
        <v>1096</v>
      </c>
      <c r="D575" s="94" t="s">
        <v>1095</v>
      </c>
      <c r="E575" s="87"/>
      <c r="F575" s="48"/>
      <c r="G575" s="97"/>
      <c r="H575" s="144"/>
      <c r="J575" s="34"/>
      <c r="AQ575" s="123"/>
    </row>
    <row r="576" spans="1:43" s="122" customFormat="1" ht="13.8">
      <c r="A576" s="58" t="s">
        <v>776</v>
      </c>
      <c r="B576" s="44"/>
      <c r="C576" s="147" t="s">
        <v>289</v>
      </c>
      <c r="D576" s="94" t="s">
        <v>1095</v>
      </c>
      <c r="E576" s="87"/>
      <c r="F576" s="48"/>
      <c r="G576" s="97"/>
      <c r="H576" s="144"/>
      <c r="J576" s="34"/>
      <c r="AQ576" s="123"/>
    </row>
    <row r="577" spans="1:43" s="122" customFormat="1" ht="13.8">
      <c r="A577" s="58" t="s">
        <v>777</v>
      </c>
      <c r="B577" s="44"/>
      <c r="C577" s="147"/>
      <c r="D577" s="94"/>
      <c r="E577" s="87"/>
      <c r="F577" s="88"/>
      <c r="G577" s="97"/>
      <c r="H577" s="144"/>
      <c r="J577" s="34"/>
      <c r="AQ577" s="123"/>
    </row>
    <row r="578" spans="1:43" s="122" customFormat="1" ht="13.8">
      <c r="A578" s="58" t="s">
        <v>778</v>
      </c>
      <c r="B578" s="44"/>
      <c r="C578" s="141" t="s">
        <v>962</v>
      </c>
      <c r="D578" s="153" t="s">
        <v>1426</v>
      </c>
      <c r="E578" s="47"/>
      <c r="F578" s="98"/>
      <c r="G578" s="97"/>
      <c r="H578" s="144"/>
      <c r="J578" s="34"/>
      <c r="AQ578" s="123"/>
    </row>
    <row r="579" spans="1:43" s="122" customFormat="1" ht="13.8">
      <c r="A579" s="58" t="s">
        <v>779</v>
      </c>
      <c r="B579" s="44"/>
      <c r="C579" s="141" t="s">
        <v>311</v>
      </c>
      <c r="D579" s="94" t="s">
        <v>968</v>
      </c>
      <c r="E579" s="87"/>
      <c r="F579" s="88">
        <f>0.205*10*1</f>
        <v>2.0499999999999998</v>
      </c>
      <c r="G579" s="97">
        <v>1</v>
      </c>
      <c r="H579" s="144"/>
      <c r="J579" s="34"/>
      <c r="AQ579" s="123"/>
    </row>
    <row r="580" spans="1:43" s="122" customFormat="1" ht="13.8">
      <c r="A580" s="58" t="s">
        <v>780</v>
      </c>
      <c r="B580" s="44"/>
      <c r="C580" s="141" t="s">
        <v>313</v>
      </c>
      <c r="D580" s="94" t="s">
        <v>968</v>
      </c>
      <c r="E580" s="87"/>
      <c r="F580" s="88">
        <f>0.205*10*1</f>
        <v>2.0499999999999998</v>
      </c>
      <c r="G580" s="97">
        <v>1</v>
      </c>
      <c r="H580" s="144"/>
      <c r="J580" s="34"/>
      <c r="AQ580" s="123"/>
    </row>
    <row r="581" spans="1:43" s="122" customFormat="1" ht="13.8">
      <c r="A581" s="58" t="s">
        <v>781</v>
      </c>
      <c r="B581" s="44"/>
      <c r="C581" s="151" t="s">
        <v>304</v>
      </c>
      <c r="D581" s="129" t="s">
        <v>248</v>
      </c>
      <c r="E581" s="87"/>
      <c r="F581" s="88">
        <f>0.255*12*1</f>
        <v>3.06</v>
      </c>
      <c r="G581" s="97">
        <v>1</v>
      </c>
      <c r="H581" s="144"/>
      <c r="J581" s="34"/>
      <c r="AQ581" s="123"/>
    </row>
    <row r="582" spans="1:43" s="122" customFormat="1" ht="13.8">
      <c r="A582" s="58" t="s">
        <v>783</v>
      </c>
      <c r="B582" s="44"/>
      <c r="C582" s="151" t="s">
        <v>304</v>
      </c>
      <c r="D582" s="129" t="s">
        <v>1097</v>
      </c>
      <c r="E582" s="87"/>
      <c r="F582" s="88">
        <f>0.255*17*2</f>
        <v>8.67</v>
      </c>
      <c r="G582" s="97">
        <v>2</v>
      </c>
      <c r="H582" s="144"/>
      <c r="J582" s="34"/>
      <c r="AQ582" s="123"/>
    </row>
    <row r="583" spans="1:43" s="122" customFormat="1" ht="13.8">
      <c r="A583" s="58" t="s">
        <v>786</v>
      </c>
      <c r="B583" s="44"/>
      <c r="C583" s="151" t="s">
        <v>304</v>
      </c>
      <c r="D583" s="129" t="s">
        <v>1098</v>
      </c>
      <c r="E583" s="87"/>
      <c r="F583" s="88">
        <f>0.255*12*1</f>
        <v>3.06</v>
      </c>
      <c r="G583" s="97">
        <v>1</v>
      </c>
      <c r="H583" s="144"/>
      <c r="J583" s="34"/>
      <c r="AQ583" s="123"/>
    </row>
    <row r="584" spans="1:43" s="122" customFormat="1" ht="13.8">
      <c r="A584" s="58" t="s">
        <v>788</v>
      </c>
      <c r="B584" s="44"/>
      <c r="C584" s="151" t="s">
        <v>307</v>
      </c>
      <c r="D584" s="129" t="s">
        <v>1098</v>
      </c>
      <c r="E584" s="87"/>
      <c r="F584" s="88">
        <f>0.255*12*1</f>
        <v>3.06</v>
      </c>
      <c r="G584" s="97">
        <v>1</v>
      </c>
      <c r="H584" s="144"/>
      <c r="J584" s="34"/>
      <c r="AQ584" s="123"/>
    </row>
    <row r="585" spans="1:43" s="122" customFormat="1" ht="13.8">
      <c r="A585" s="58" t="s">
        <v>790</v>
      </c>
      <c r="B585" s="44"/>
      <c r="C585" s="151" t="s">
        <v>309</v>
      </c>
      <c r="D585" s="129" t="s">
        <v>1098</v>
      </c>
      <c r="E585" s="87"/>
      <c r="F585" s="88">
        <f>0.255*12*1</f>
        <v>3.06</v>
      </c>
      <c r="G585" s="97">
        <v>1</v>
      </c>
      <c r="H585" s="144"/>
      <c r="J585" s="34"/>
      <c r="AQ585" s="123"/>
    </row>
    <row r="586" spans="1:43" s="122" customFormat="1" ht="13.8">
      <c r="A586" s="58" t="s">
        <v>792</v>
      </c>
      <c r="B586" s="44"/>
      <c r="C586" s="151" t="s">
        <v>304</v>
      </c>
      <c r="D586" s="129" t="s">
        <v>1098</v>
      </c>
      <c r="E586" s="87"/>
      <c r="F586" s="88">
        <f>0.255*12*1</f>
        <v>3.06</v>
      </c>
      <c r="G586" s="97">
        <v>1</v>
      </c>
      <c r="H586" s="144"/>
      <c r="J586" s="34"/>
      <c r="AQ586" s="123"/>
    </row>
    <row r="587" spans="1:43" s="122" customFormat="1" ht="13.8">
      <c r="A587" s="58" t="s">
        <v>944</v>
      </c>
      <c r="B587" s="44"/>
      <c r="C587" s="151" t="s">
        <v>1103</v>
      </c>
      <c r="D587" s="129" t="s">
        <v>1099</v>
      </c>
      <c r="E587" s="87"/>
      <c r="F587" s="88">
        <f>0.255*13*1</f>
        <v>3.3149999999999999</v>
      </c>
      <c r="G587" s="97">
        <v>1</v>
      </c>
      <c r="H587" s="144"/>
      <c r="J587" s="34"/>
      <c r="AQ587" s="123"/>
    </row>
    <row r="588" spans="1:43" s="122" customFormat="1" ht="13.8">
      <c r="A588" s="58" t="s">
        <v>793</v>
      </c>
      <c r="B588" s="44"/>
      <c r="C588" s="151" t="s">
        <v>309</v>
      </c>
      <c r="D588" s="129" t="s">
        <v>1098</v>
      </c>
      <c r="E588" s="87"/>
      <c r="F588" s="88">
        <f t="shared" ref="F588:F589" si="16">0.255*12*1</f>
        <v>3.06</v>
      </c>
      <c r="G588" s="97">
        <v>1</v>
      </c>
      <c r="H588" s="144"/>
      <c r="J588" s="34"/>
      <c r="AQ588" s="123"/>
    </row>
    <row r="589" spans="1:43" s="122" customFormat="1" ht="13.8">
      <c r="A589" s="58" t="s">
        <v>794</v>
      </c>
      <c r="B589" s="44"/>
      <c r="C589" s="151" t="s">
        <v>313</v>
      </c>
      <c r="D589" s="129" t="s">
        <v>1098</v>
      </c>
      <c r="E589" s="87"/>
      <c r="F589" s="88">
        <f t="shared" si="16"/>
        <v>3.06</v>
      </c>
      <c r="G589" s="97">
        <v>1</v>
      </c>
      <c r="H589" s="144"/>
      <c r="J589" s="34"/>
      <c r="AQ589" s="123"/>
    </row>
    <row r="590" spans="1:43" s="122" customFormat="1" ht="13.8">
      <c r="A590" s="58" t="s">
        <v>797</v>
      </c>
      <c r="B590" s="44"/>
      <c r="C590" s="151" t="s">
        <v>316</v>
      </c>
      <c r="D590" s="129" t="s">
        <v>1098</v>
      </c>
      <c r="E590" s="87"/>
      <c r="F590" s="88">
        <f>0.255*12*1</f>
        <v>3.06</v>
      </c>
      <c r="G590" s="97">
        <v>1</v>
      </c>
      <c r="H590" s="144"/>
      <c r="J590" s="34"/>
      <c r="AQ590" s="123"/>
    </row>
    <row r="591" spans="1:43" s="122" customFormat="1" ht="27.6">
      <c r="A591" s="58" t="s">
        <v>800</v>
      </c>
      <c r="B591" s="44"/>
      <c r="C591" s="147" t="s">
        <v>217</v>
      </c>
      <c r="D591" s="94" t="s">
        <v>1101</v>
      </c>
      <c r="E591" s="87"/>
      <c r="F591" s="88"/>
      <c r="G591" s="97"/>
      <c r="H591" s="144"/>
      <c r="J591" s="34"/>
      <c r="AQ591" s="123"/>
    </row>
    <row r="592" spans="1:43" s="122" customFormat="1" ht="27.6">
      <c r="A592" s="58" t="s">
        <v>801</v>
      </c>
      <c r="B592" s="44"/>
      <c r="C592" s="147" t="s">
        <v>289</v>
      </c>
      <c r="D592" s="94" t="s">
        <v>1101</v>
      </c>
      <c r="E592" s="87"/>
      <c r="F592" s="88"/>
      <c r="G592" s="97"/>
      <c r="H592" s="144"/>
      <c r="J592" s="34"/>
      <c r="AQ592" s="123"/>
    </row>
    <row r="593" spans="1:43" s="122" customFormat="1" ht="27.6">
      <c r="A593" s="58" t="s">
        <v>803</v>
      </c>
      <c r="B593" s="44"/>
      <c r="C593" s="147" t="s">
        <v>289</v>
      </c>
      <c r="D593" s="94" t="s">
        <v>1102</v>
      </c>
      <c r="E593" s="87"/>
      <c r="F593" s="88"/>
      <c r="G593" s="97"/>
      <c r="H593" s="144"/>
      <c r="J593" s="34"/>
      <c r="AQ593" s="123"/>
    </row>
    <row r="594" spans="1:43" s="122" customFormat="1" ht="13.8">
      <c r="A594" s="58" t="s">
        <v>805</v>
      </c>
      <c r="B594" s="44"/>
      <c r="C594" s="151" t="s">
        <v>318</v>
      </c>
      <c r="D594" s="129" t="s">
        <v>1100</v>
      </c>
      <c r="E594" s="87"/>
      <c r="F594" s="88">
        <f>0.255*14*1</f>
        <v>3.5700000000000003</v>
      </c>
      <c r="G594" s="97">
        <v>1</v>
      </c>
      <c r="H594" s="144"/>
      <c r="J594" s="34"/>
      <c r="AQ594" s="123"/>
    </row>
    <row r="595" spans="1:43" s="122" customFormat="1" ht="13.8">
      <c r="A595" s="58" t="s">
        <v>807</v>
      </c>
      <c r="B595" s="44"/>
      <c r="C595" s="151"/>
      <c r="D595" s="129"/>
      <c r="E595" s="87"/>
      <c r="F595" s="48"/>
      <c r="G595" s="97"/>
      <c r="H595" s="144"/>
      <c r="J595" s="34"/>
      <c r="AQ595" s="123"/>
    </row>
    <row r="596" spans="1:43" s="122" customFormat="1" ht="41.4">
      <c r="A596" s="58" t="s">
        <v>809</v>
      </c>
      <c r="B596" s="154" t="s">
        <v>1126</v>
      </c>
      <c r="C596" s="151"/>
      <c r="D596" s="129" t="s">
        <v>1427</v>
      </c>
      <c r="E596" s="155" t="s">
        <v>41</v>
      </c>
      <c r="F596" s="88">
        <f>0.255*10*1</f>
        <v>2.5499999999999998</v>
      </c>
      <c r="G596" s="49">
        <v>40.5</v>
      </c>
      <c r="H596" s="50">
        <f t="shared" ref="H596:H597" si="17">ROUND((F596*G596),2)</f>
        <v>103.28</v>
      </c>
      <c r="J596" s="34"/>
      <c r="AQ596" s="123"/>
    </row>
    <row r="597" spans="1:43" s="122" customFormat="1" ht="27.6">
      <c r="A597" s="58" t="s">
        <v>810</v>
      </c>
      <c r="B597" s="44" t="s">
        <v>1135</v>
      </c>
      <c r="C597" s="151"/>
      <c r="D597" s="129" t="s">
        <v>1136</v>
      </c>
      <c r="E597" s="155" t="s">
        <v>91</v>
      </c>
      <c r="F597" s="127">
        <v>2</v>
      </c>
      <c r="G597" s="49">
        <v>160</v>
      </c>
      <c r="H597" s="50">
        <f t="shared" si="17"/>
        <v>320</v>
      </c>
      <c r="J597" s="34"/>
      <c r="AQ597" s="123"/>
    </row>
    <row r="598" spans="1:43" s="122" customFormat="1" ht="13.8">
      <c r="A598" s="58" t="s">
        <v>812</v>
      </c>
      <c r="B598" s="44"/>
      <c r="C598" s="147"/>
      <c r="D598" s="94"/>
      <c r="E598" s="87"/>
      <c r="F598" s="88"/>
      <c r="G598" s="97"/>
      <c r="H598" s="144"/>
      <c r="J598" s="34"/>
      <c r="AQ598" s="123"/>
    </row>
    <row r="599" spans="1:43">
      <c r="A599" s="58" t="s">
        <v>814</v>
      </c>
      <c r="B599" s="44"/>
      <c r="C599" s="45"/>
      <c r="D599" s="129"/>
      <c r="E599" s="47"/>
      <c r="F599" s="88"/>
      <c r="G599" s="97"/>
      <c r="H599" s="89"/>
      <c r="J599" s="156"/>
      <c r="AQ599" s="36"/>
    </row>
    <row r="600" spans="1:43" ht="13.8">
      <c r="A600" s="58" t="s">
        <v>815</v>
      </c>
      <c r="B600" s="26" t="s">
        <v>670</v>
      </c>
      <c r="D600" s="157" t="s">
        <v>671</v>
      </c>
      <c r="E600" s="158" t="s">
        <v>672</v>
      </c>
      <c r="F600" s="37" t="s">
        <v>38</v>
      </c>
      <c r="H600" s="20">
        <f>SUM(H601:H760)</f>
        <v>2939120.7</v>
      </c>
      <c r="I600" s="35"/>
      <c r="J600" s="156"/>
    </row>
    <row r="601" spans="1:43" ht="12">
      <c r="A601" s="58" t="s">
        <v>817</v>
      </c>
      <c r="D601" s="28"/>
      <c r="E601" s="158"/>
      <c r="F601" s="37"/>
      <c r="G601" s="21"/>
      <c r="H601" s="20"/>
      <c r="I601" s="35"/>
      <c r="J601" s="156"/>
    </row>
    <row r="602" spans="1:43" ht="12">
      <c r="A602" s="58" t="s">
        <v>820</v>
      </c>
      <c r="B602" s="26" t="s">
        <v>675</v>
      </c>
      <c r="D602" s="28" t="s">
        <v>676</v>
      </c>
      <c r="E602" s="158"/>
      <c r="F602" s="159"/>
      <c r="G602" s="21"/>
      <c r="H602" s="20"/>
      <c r="I602" s="35"/>
      <c r="J602" s="156"/>
    </row>
    <row r="603" spans="1:43" ht="36">
      <c r="A603" s="58" t="s">
        <v>821</v>
      </c>
      <c r="B603" s="26" t="s">
        <v>678</v>
      </c>
      <c r="D603" s="160" t="s">
        <v>679</v>
      </c>
      <c r="E603" s="161" t="s">
        <v>91</v>
      </c>
      <c r="F603" s="31">
        <v>1</v>
      </c>
      <c r="G603" s="49">
        <f>7094+1.34</f>
        <v>7095.34</v>
      </c>
      <c r="H603" s="50">
        <f t="shared" ref="H603:H605" si="18">ROUND((F603*G603),2)</f>
        <v>7095.34</v>
      </c>
      <c r="I603" s="35"/>
      <c r="J603" s="156"/>
    </row>
    <row r="604" spans="1:43" ht="24">
      <c r="A604" s="58" t="s">
        <v>822</v>
      </c>
      <c r="B604" s="26" t="s">
        <v>958</v>
      </c>
      <c r="D604" s="86" t="s">
        <v>1134</v>
      </c>
      <c r="E604" s="162" t="s">
        <v>91</v>
      </c>
      <c r="F604" s="31">
        <v>1</v>
      </c>
      <c r="G604" s="163">
        <v>793</v>
      </c>
      <c r="H604" s="50">
        <f t="shared" si="18"/>
        <v>793</v>
      </c>
      <c r="I604" s="35"/>
      <c r="J604" s="164"/>
    </row>
    <row r="605" spans="1:43" ht="24">
      <c r="A605" s="58" t="s">
        <v>823</v>
      </c>
      <c r="B605" s="26">
        <v>998735203</v>
      </c>
      <c r="D605" s="86" t="s">
        <v>682</v>
      </c>
      <c r="E605" s="162" t="s">
        <v>672</v>
      </c>
      <c r="F605" s="165">
        <v>2.3900000000000001E-2</v>
      </c>
      <c r="G605" s="31">
        <f>H603+H604</f>
        <v>7888.34</v>
      </c>
      <c r="H605" s="50">
        <f t="shared" si="18"/>
        <v>188.53</v>
      </c>
      <c r="I605" s="35"/>
      <c r="J605" s="164"/>
    </row>
    <row r="606" spans="1:43" ht="12">
      <c r="A606" s="58" t="s">
        <v>825</v>
      </c>
      <c r="D606" s="86"/>
      <c r="E606" s="162"/>
      <c r="F606" s="166"/>
      <c r="G606" s="167"/>
      <c r="H606" s="168"/>
      <c r="I606" s="35"/>
      <c r="J606" s="164"/>
    </row>
    <row r="607" spans="1:43" ht="12">
      <c r="A607" s="58" t="s">
        <v>828</v>
      </c>
      <c r="D607" s="86"/>
      <c r="E607" s="162"/>
      <c r="F607" s="166"/>
      <c r="G607" s="167"/>
      <c r="H607" s="168"/>
      <c r="I607" s="35"/>
      <c r="J607" s="164"/>
    </row>
    <row r="608" spans="1:43" ht="12">
      <c r="A608" s="58" t="s">
        <v>830</v>
      </c>
      <c r="D608" s="169" t="s">
        <v>686</v>
      </c>
      <c r="E608" s="158"/>
      <c r="F608" s="159"/>
      <c r="G608" s="21"/>
      <c r="H608" s="20"/>
      <c r="I608" s="35"/>
      <c r="J608" s="164"/>
    </row>
    <row r="609" spans="1:10" ht="24">
      <c r="A609" s="58" t="s">
        <v>832</v>
      </c>
      <c r="B609" s="26">
        <v>735110911</v>
      </c>
      <c r="D609" s="86" t="s">
        <v>1314</v>
      </c>
      <c r="E609" s="162" t="s">
        <v>91</v>
      </c>
      <c r="F609" s="166">
        <f>410*4</f>
        <v>1640</v>
      </c>
      <c r="G609" s="167">
        <v>143</v>
      </c>
      <c r="H609" s="50">
        <f t="shared" ref="H609:H615" si="19">ROUND((F609*G609),2)</f>
        <v>234520</v>
      </c>
      <c r="I609" s="35"/>
      <c r="J609" s="164"/>
    </row>
    <row r="610" spans="1:10" ht="24">
      <c r="A610" s="58" t="s">
        <v>833</v>
      </c>
      <c r="B610" s="26">
        <v>735110912</v>
      </c>
      <c r="D610" s="86" t="s">
        <v>1315</v>
      </c>
      <c r="E610" s="162" t="s">
        <v>91</v>
      </c>
      <c r="F610" s="30">
        <v>82</v>
      </c>
      <c r="G610" s="167">
        <v>126</v>
      </c>
      <c r="H610" s="50">
        <f t="shared" si="19"/>
        <v>10332</v>
      </c>
      <c r="I610" s="35"/>
      <c r="J610" s="164"/>
    </row>
    <row r="611" spans="1:10" ht="12">
      <c r="A611" s="58" t="s">
        <v>835</v>
      </c>
      <c r="B611" s="26">
        <v>735110914</v>
      </c>
      <c r="D611" s="86" t="s">
        <v>1316</v>
      </c>
      <c r="E611" s="162" t="s">
        <v>91</v>
      </c>
      <c r="F611" s="30">
        <v>82</v>
      </c>
      <c r="G611" s="167">
        <v>224</v>
      </c>
      <c r="H611" s="50">
        <f t="shared" si="19"/>
        <v>18368</v>
      </c>
      <c r="I611" s="35"/>
      <c r="J611" s="164"/>
    </row>
    <row r="612" spans="1:10" ht="24">
      <c r="A612" s="58" t="s">
        <v>837</v>
      </c>
      <c r="B612" s="26">
        <v>735191905</v>
      </c>
      <c r="D612" s="86" t="s">
        <v>1323</v>
      </c>
      <c r="E612" s="162" t="s">
        <v>91</v>
      </c>
      <c r="F612" s="159">
        <v>504</v>
      </c>
      <c r="G612" s="167">
        <v>30.6</v>
      </c>
      <c r="H612" s="50">
        <f t="shared" si="19"/>
        <v>15422.4</v>
      </c>
      <c r="I612" s="35"/>
      <c r="J612" s="35"/>
    </row>
    <row r="613" spans="1:10" ht="36">
      <c r="A613" s="58" t="s">
        <v>839</v>
      </c>
      <c r="B613" s="26" t="s">
        <v>692</v>
      </c>
      <c r="D613" s="86" t="s">
        <v>1327</v>
      </c>
      <c r="E613" s="162" t="s">
        <v>168</v>
      </c>
      <c r="F613" s="30">
        <f>410*0.1*2</f>
        <v>82</v>
      </c>
      <c r="G613" s="167">
        <v>344</v>
      </c>
      <c r="H613" s="50">
        <f t="shared" si="19"/>
        <v>28208</v>
      </c>
      <c r="I613" s="35"/>
      <c r="J613" s="35"/>
    </row>
    <row r="614" spans="1:10" ht="36">
      <c r="A614" s="58" t="s">
        <v>840</v>
      </c>
      <c r="B614" s="26" t="s">
        <v>694</v>
      </c>
      <c r="D614" s="86" t="s">
        <v>1151</v>
      </c>
      <c r="E614" s="170" t="s">
        <v>41</v>
      </c>
      <c r="F614" s="171">
        <v>3</v>
      </c>
      <c r="G614" s="163">
        <v>1900</v>
      </c>
      <c r="H614" s="50">
        <f t="shared" si="19"/>
        <v>5700</v>
      </c>
      <c r="I614" s="35"/>
      <c r="J614" s="164"/>
    </row>
    <row r="615" spans="1:10" ht="24">
      <c r="A615" s="58" t="s">
        <v>841</v>
      </c>
      <c r="B615" s="26">
        <v>998735203</v>
      </c>
      <c r="D615" s="86" t="s">
        <v>682</v>
      </c>
      <c r="E615" s="162" t="s">
        <v>672</v>
      </c>
      <c r="F615" s="166">
        <v>2.3900000000000001E-2</v>
      </c>
      <c r="G615" s="31">
        <f>SUM(H609:H614)</f>
        <v>312550.40000000002</v>
      </c>
      <c r="H615" s="50">
        <f t="shared" si="19"/>
        <v>7469.95</v>
      </c>
      <c r="I615" s="35"/>
      <c r="J615" s="164"/>
    </row>
    <row r="616" spans="1:10" ht="12">
      <c r="A616" s="58" t="s">
        <v>842</v>
      </c>
      <c r="B616" s="27"/>
      <c r="D616" s="172"/>
      <c r="E616" s="173"/>
      <c r="F616" s="159"/>
      <c r="G616" s="163"/>
      <c r="H616" s="174"/>
      <c r="I616" s="35"/>
      <c r="J616" s="164"/>
    </row>
    <row r="617" spans="1:10" ht="12">
      <c r="A617" s="58" t="s">
        <v>843</v>
      </c>
      <c r="B617" s="27" t="s">
        <v>698</v>
      </c>
      <c r="D617" s="173" t="s">
        <v>699</v>
      </c>
      <c r="E617" s="158"/>
      <c r="F617" s="159"/>
      <c r="G617" s="163"/>
      <c r="H617" s="174"/>
      <c r="I617" s="35"/>
      <c r="J617" s="164"/>
    </row>
    <row r="618" spans="1:10" ht="24">
      <c r="A618" s="58" t="s">
        <v>844</v>
      </c>
      <c r="B618" s="27" t="s">
        <v>701</v>
      </c>
      <c r="D618" s="175" t="s">
        <v>702</v>
      </c>
      <c r="E618" s="40" t="s">
        <v>168</v>
      </c>
      <c r="F618" s="159">
        <v>12</v>
      </c>
      <c r="G618" s="163">
        <f>1.15*360</f>
        <v>413.99999999999994</v>
      </c>
      <c r="H618" s="50">
        <f t="shared" ref="H618:H631" si="20">ROUND((F618*G618),2)</f>
        <v>4968</v>
      </c>
      <c r="I618" s="35"/>
      <c r="J618" s="164"/>
    </row>
    <row r="619" spans="1:10" ht="24">
      <c r="A619" s="58" t="s">
        <v>845</v>
      </c>
      <c r="B619" s="27" t="s">
        <v>701</v>
      </c>
      <c r="D619" s="175" t="s">
        <v>704</v>
      </c>
      <c r="E619" s="40" t="s">
        <v>168</v>
      </c>
      <c r="F619" s="159">
        <v>12</v>
      </c>
      <c r="G619" s="163">
        <f>1.15*450</f>
        <v>517.5</v>
      </c>
      <c r="H619" s="50">
        <f t="shared" si="20"/>
        <v>6210</v>
      </c>
      <c r="I619" s="35"/>
      <c r="J619" s="164"/>
    </row>
    <row r="620" spans="1:10" ht="24">
      <c r="A620" s="58" t="s">
        <v>846</v>
      </c>
      <c r="B620" s="27" t="s">
        <v>706</v>
      </c>
      <c r="D620" s="175" t="s">
        <v>707</v>
      </c>
      <c r="E620" s="40" t="s">
        <v>168</v>
      </c>
      <c r="F620" s="159">
        <v>6</v>
      </c>
      <c r="G620" s="163">
        <f>1.15*540</f>
        <v>621</v>
      </c>
      <c r="H620" s="50">
        <f t="shared" si="20"/>
        <v>3726</v>
      </c>
      <c r="I620" s="35"/>
      <c r="J620" s="164"/>
    </row>
    <row r="621" spans="1:10" ht="24">
      <c r="A621" s="58" t="s">
        <v>847</v>
      </c>
      <c r="B621" s="27" t="s">
        <v>706</v>
      </c>
      <c r="D621" s="175" t="s">
        <v>709</v>
      </c>
      <c r="E621" s="40" t="s">
        <v>168</v>
      </c>
      <c r="F621" s="159">
        <v>6</v>
      </c>
      <c r="G621" s="163">
        <v>686</v>
      </c>
      <c r="H621" s="50">
        <f t="shared" si="20"/>
        <v>4116</v>
      </c>
      <c r="I621" s="35"/>
      <c r="J621" s="164"/>
    </row>
    <row r="622" spans="1:10" ht="24">
      <c r="A622" s="58" t="s">
        <v>848</v>
      </c>
      <c r="B622" s="27" t="s">
        <v>706</v>
      </c>
      <c r="D622" s="175" t="s">
        <v>711</v>
      </c>
      <c r="E622" s="40" t="s">
        <v>168</v>
      </c>
      <c r="F622" s="159">
        <v>6</v>
      </c>
      <c r="G622" s="163">
        <v>858</v>
      </c>
      <c r="H622" s="50">
        <f t="shared" si="20"/>
        <v>5148</v>
      </c>
      <c r="I622" s="35"/>
      <c r="J622" s="164"/>
    </row>
    <row r="623" spans="1:10" ht="12">
      <c r="A623" s="58" t="s">
        <v>849</v>
      </c>
      <c r="B623" s="27"/>
      <c r="D623" s="175"/>
      <c r="E623" s="40"/>
      <c r="F623" s="159"/>
      <c r="G623" s="163"/>
      <c r="H623" s="168"/>
      <c r="I623" s="35"/>
      <c r="J623" s="164"/>
    </row>
    <row r="624" spans="1:10" ht="24">
      <c r="A624" s="58" t="s">
        <v>850</v>
      </c>
      <c r="B624" s="27" t="s">
        <v>714</v>
      </c>
      <c r="D624" s="175" t="s">
        <v>702</v>
      </c>
      <c r="E624" s="40" t="s">
        <v>168</v>
      </c>
      <c r="F624" s="159">
        <v>12</v>
      </c>
      <c r="G624" s="163">
        <v>73.8</v>
      </c>
      <c r="H624" s="50">
        <f t="shared" si="20"/>
        <v>885.6</v>
      </c>
      <c r="I624" s="35"/>
      <c r="J624" s="164"/>
    </row>
    <row r="625" spans="1:10" ht="24">
      <c r="A625" s="58" t="s">
        <v>851</v>
      </c>
      <c r="B625" s="27" t="s">
        <v>716</v>
      </c>
      <c r="D625" s="175" t="s">
        <v>704</v>
      </c>
      <c r="E625" s="40" t="s">
        <v>168</v>
      </c>
      <c r="F625" s="159">
        <v>12</v>
      </c>
      <c r="G625" s="163">
        <v>75.7</v>
      </c>
      <c r="H625" s="50">
        <f t="shared" si="20"/>
        <v>908.4</v>
      </c>
      <c r="I625" s="35"/>
      <c r="J625" s="164"/>
    </row>
    <row r="626" spans="1:10" ht="24">
      <c r="A626" s="58" t="s">
        <v>853</v>
      </c>
      <c r="B626" s="27" t="s">
        <v>718</v>
      </c>
      <c r="D626" s="175" t="s">
        <v>707</v>
      </c>
      <c r="E626" s="40" t="s">
        <v>168</v>
      </c>
      <c r="F626" s="159">
        <v>6</v>
      </c>
      <c r="G626" s="163">
        <v>81.5</v>
      </c>
      <c r="H626" s="50">
        <f t="shared" si="20"/>
        <v>489</v>
      </c>
      <c r="I626" s="35"/>
      <c r="J626" s="164"/>
    </row>
    <row r="627" spans="1:10" ht="24">
      <c r="A627" s="58" t="s">
        <v>855</v>
      </c>
      <c r="B627" s="27" t="s">
        <v>720</v>
      </c>
      <c r="D627" s="175" t="s">
        <v>709</v>
      </c>
      <c r="E627" s="40" t="s">
        <v>168</v>
      </c>
      <c r="F627" s="159">
        <v>6</v>
      </c>
      <c r="G627" s="163">
        <v>90.8</v>
      </c>
      <c r="H627" s="50">
        <f t="shared" si="20"/>
        <v>544.79999999999995</v>
      </c>
      <c r="I627" s="35"/>
      <c r="J627" s="164"/>
    </row>
    <row r="628" spans="1:10" ht="24">
      <c r="A628" s="58" t="s">
        <v>856</v>
      </c>
      <c r="B628" s="27" t="s">
        <v>722</v>
      </c>
      <c r="D628" s="175" t="s">
        <v>711</v>
      </c>
      <c r="E628" s="40" t="s">
        <v>168</v>
      </c>
      <c r="F628" s="159">
        <v>6</v>
      </c>
      <c r="G628" s="163">
        <v>103</v>
      </c>
      <c r="H628" s="50">
        <f t="shared" si="20"/>
        <v>618</v>
      </c>
      <c r="I628" s="35"/>
      <c r="J628" s="164"/>
    </row>
    <row r="629" spans="1:10" ht="12">
      <c r="A629" s="58" t="s">
        <v>860</v>
      </c>
      <c r="B629" s="27" t="s">
        <v>959</v>
      </c>
      <c r="D629" s="176" t="s">
        <v>724</v>
      </c>
      <c r="E629" s="40" t="s">
        <v>168</v>
      </c>
      <c r="F629" s="159">
        <f>SUM(F624:F628)</f>
        <v>42</v>
      </c>
      <c r="G629" s="163">
        <v>12</v>
      </c>
      <c r="H629" s="50">
        <f t="shared" si="20"/>
        <v>504</v>
      </c>
      <c r="I629" s="35"/>
      <c r="J629" s="164"/>
    </row>
    <row r="630" spans="1:10" ht="24">
      <c r="A630" s="58" t="s">
        <v>863</v>
      </c>
      <c r="B630" s="27" t="s">
        <v>726</v>
      </c>
      <c r="D630" s="175" t="s">
        <v>1153</v>
      </c>
      <c r="E630" s="162" t="s">
        <v>91</v>
      </c>
      <c r="F630" s="159">
        <f>410*2</f>
        <v>820</v>
      </c>
      <c r="G630" s="163">
        <v>168</v>
      </c>
      <c r="H630" s="50">
        <f t="shared" si="20"/>
        <v>137760</v>
      </c>
      <c r="I630" s="35"/>
      <c r="J630" s="164"/>
    </row>
    <row r="631" spans="1:10" ht="24">
      <c r="A631" s="58" t="s">
        <v>864</v>
      </c>
      <c r="B631" s="27" t="s">
        <v>728</v>
      </c>
      <c r="D631" s="176" t="s">
        <v>1119</v>
      </c>
      <c r="E631" s="40" t="s">
        <v>6</v>
      </c>
      <c r="F631" s="159">
        <v>3.6700000000000003E-2</v>
      </c>
      <c r="G631" s="167">
        <f>SUM(H618:H630)</f>
        <v>165877.79999999999</v>
      </c>
      <c r="H631" s="50">
        <f t="shared" si="20"/>
        <v>6087.72</v>
      </c>
      <c r="I631" s="35"/>
      <c r="J631" s="164"/>
    </row>
    <row r="632" spans="1:10" ht="12">
      <c r="A632" s="58" t="s">
        <v>866</v>
      </c>
      <c r="B632" s="27"/>
      <c r="D632" s="66"/>
      <c r="E632" s="161"/>
      <c r="F632" s="177"/>
      <c r="H632" s="168"/>
      <c r="I632" s="35"/>
      <c r="J632" s="164"/>
    </row>
    <row r="633" spans="1:10" ht="12">
      <c r="A633" s="58" t="s">
        <v>867</v>
      </c>
      <c r="B633" s="27"/>
      <c r="D633" s="173" t="s">
        <v>731</v>
      </c>
      <c r="E633" s="161" t="s">
        <v>672</v>
      </c>
      <c r="F633" s="159"/>
      <c r="H633" s="178"/>
      <c r="I633" s="35"/>
      <c r="J633" s="164"/>
    </row>
    <row r="634" spans="1:10" ht="36">
      <c r="A634" s="58" t="s">
        <v>868</v>
      </c>
      <c r="B634" s="27"/>
      <c r="D634" s="172" t="s">
        <v>1428</v>
      </c>
      <c r="E634" s="179" t="s">
        <v>1120</v>
      </c>
      <c r="F634" s="165">
        <f>SUM(F636:F660)</f>
        <v>57</v>
      </c>
      <c r="H634" s="178"/>
      <c r="I634" s="35"/>
      <c r="J634" s="164">
        <f>SUM(J640:J697)</f>
        <v>0</v>
      </c>
    </row>
    <row r="635" spans="1:10" ht="12">
      <c r="A635" s="58" t="s">
        <v>870</v>
      </c>
      <c r="B635" s="27"/>
      <c r="D635" s="180" t="s">
        <v>1110</v>
      </c>
      <c r="E635" s="161"/>
      <c r="F635" s="181"/>
      <c r="H635" s="178"/>
      <c r="I635" s="35"/>
      <c r="J635" s="164"/>
    </row>
    <row r="636" spans="1:10" ht="12">
      <c r="A636" s="58" t="s">
        <v>871</v>
      </c>
      <c r="B636" s="27" t="s">
        <v>701</v>
      </c>
      <c r="D636" s="182" t="s">
        <v>746</v>
      </c>
      <c r="E636" s="161"/>
      <c r="F636" s="183">
        <v>9</v>
      </c>
      <c r="G636" s="31">
        <f>3422+105</f>
        <v>3527</v>
      </c>
      <c r="H636" s="50">
        <f t="shared" ref="H636:H637" si="21">ROUND((F636*G636),2)</f>
        <v>31743</v>
      </c>
      <c r="I636" s="35"/>
      <c r="J636" s="164"/>
    </row>
    <row r="637" spans="1:10" ht="12">
      <c r="A637" s="58" t="s">
        <v>873</v>
      </c>
      <c r="B637" s="27" t="s">
        <v>701</v>
      </c>
      <c r="D637" s="184" t="s">
        <v>1113</v>
      </c>
      <c r="E637" s="161"/>
      <c r="F637" s="185">
        <v>1</v>
      </c>
      <c r="G637" s="31">
        <f>3970+105+11</f>
        <v>4086</v>
      </c>
      <c r="H637" s="50">
        <f t="shared" si="21"/>
        <v>4086</v>
      </c>
      <c r="I637" s="35"/>
      <c r="J637" s="164"/>
    </row>
    <row r="638" spans="1:10" ht="12">
      <c r="A638" s="58" t="s">
        <v>875</v>
      </c>
      <c r="B638" s="27"/>
      <c r="D638" s="173" t="s">
        <v>1111</v>
      </c>
      <c r="E638" s="161"/>
      <c r="F638" s="181"/>
      <c r="H638" s="168"/>
      <c r="I638" s="35"/>
      <c r="J638" s="164"/>
    </row>
    <row r="639" spans="1:10" ht="12">
      <c r="A639" s="58" t="s">
        <v>877</v>
      </c>
      <c r="B639" s="27" t="s">
        <v>701</v>
      </c>
      <c r="D639" s="182" t="s">
        <v>746</v>
      </c>
      <c r="E639" s="161"/>
      <c r="F639" s="183">
        <v>8</v>
      </c>
      <c r="G639" s="31">
        <f>3422+105</f>
        <v>3527</v>
      </c>
      <c r="H639" s="50">
        <f t="shared" ref="H639:H640" si="22">ROUND((F639*G639),2)</f>
        <v>28216</v>
      </c>
      <c r="I639" s="35"/>
      <c r="J639" s="164"/>
    </row>
    <row r="640" spans="1:10" ht="12">
      <c r="A640" s="58" t="s">
        <v>879</v>
      </c>
      <c r="B640" s="27" t="s">
        <v>701</v>
      </c>
      <c r="D640" s="184" t="s">
        <v>1113</v>
      </c>
      <c r="E640" s="186"/>
      <c r="F640" s="185">
        <v>1</v>
      </c>
      <c r="G640" s="31">
        <f>3970+105+11</f>
        <v>4086</v>
      </c>
      <c r="H640" s="50">
        <f t="shared" si="22"/>
        <v>4086</v>
      </c>
      <c r="I640" s="35"/>
      <c r="J640" s="164"/>
    </row>
    <row r="641" spans="1:10" ht="12">
      <c r="A641" s="58" t="s">
        <v>880</v>
      </c>
      <c r="B641" s="27"/>
      <c r="D641" s="173" t="s">
        <v>1112</v>
      </c>
      <c r="E641" s="161"/>
      <c r="F641" s="181"/>
      <c r="H641" s="168"/>
      <c r="I641" s="35"/>
      <c r="J641" s="164"/>
    </row>
    <row r="642" spans="1:10" ht="12">
      <c r="A642" s="58" t="s">
        <v>883</v>
      </c>
      <c r="B642" s="27" t="s">
        <v>701</v>
      </c>
      <c r="D642" s="173" t="s">
        <v>735</v>
      </c>
      <c r="E642" s="161"/>
      <c r="F642" s="181">
        <v>3</v>
      </c>
      <c r="G642" s="31">
        <f>2820+105</f>
        <v>2925</v>
      </c>
      <c r="H642" s="50">
        <f t="shared" ref="H642:H644" si="23">ROUND((F642*G642),2)</f>
        <v>8775</v>
      </c>
      <c r="I642" s="35"/>
      <c r="J642" s="164"/>
    </row>
    <row r="643" spans="1:10" ht="12">
      <c r="A643" s="58" t="s">
        <v>886</v>
      </c>
      <c r="B643" s="27" t="s">
        <v>701</v>
      </c>
      <c r="D643" s="173" t="s">
        <v>737</v>
      </c>
      <c r="E643" s="161"/>
      <c r="F643" s="181">
        <v>3</v>
      </c>
      <c r="G643" s="31">
        <f>3052+104</f>
        <v>3156</v>
      </c>
      <c r="H643" s="50">
        <f t="shared" si="23"/>
        <v>9468</v>
      </c>
      <c r="I643" s="35"/>
      <c r="J643" s="164"/>
    </row>
    <row r="644" spans="1:10" ht="12">
      <c r="A644" s="58" t="s">
        <v>887</v>
      </c>
      <c r="B644" s="27" t="s">
        <v>701</v>
      </c>
      <c r="D644" s="182" t="s">
        <v>746</v>
      </c>
      <c r="E644" s="187"/>
      <c r="F644" s="183">
        <v>1</v>
      </c>
      <c r="G644" s="31">
        <f>3422+105</f>
        <v>3527</v>
      </c>
      <c r="H644" s="50">
        <f t="shared" si="23"/>
        <v>3527</v>
      </c>
      <c r="I644" s="35"/>
      <c r="J644" s="164"/>
    </row>
    <row r="645" spans="1:10" ht="12">
      <c r="A645" s="58" t="s">
        <v>888</v>
      </c>
      <c r="B645" s="27"/>
      <c r="D645" s="173" t="s">
        <v>1114</v>
      </c>
      <c r="E645" s="161"/>
      <c r="F645" s="181"/>
      <c r="H645" s="168"/>
      <c r="I645" s="35"/>
      <c r="J645" s="164"/>
    </row>
    <row r="646" spans="1:10" ht="12">
      <c r="A646" s="58" t="s">
        <v>890</v>
      </c>
      <c r="B646" s="27" t="s">
        <v>701</v>
      </c>
      <c r="D646" s="173" t="s">
        <v>735</v>
      </c>
      <c r="E646" s="161"/>
      <c r="F646" s="181">
        <v>11</v>
      </c>
      <c r="G646" s="31">
        <f>2820+105</f>
        <v>2925</v>
      </c>
      <c r="H646" s="50">
        <f t="shared" ref="H646:H647" si="24">ROUND((F646*G646),2)</f>
        <v>32175</v>
      </c>
      <c r="I646" s="35"/>
      <c r="J646" s="164"/>
    </row>
    <row r="647" spans="1:10" ht="12">
      <c r="A647" s="58" t="s">
        <v>892</v>
      </c>
      <c r="B647" s="27" t="s">
        <v>701</v>
      </c>
      <c r="D647" s="173" t="s">
        <v>737</v>
      </c>
      <c r="E647" s="161"/>
      <c r="F647" s="181">
        <v>1</v>
      </c>
      <c r="G647" s="31">
        <f>3052+105</f>
        <v>3157</v>
      </c>
      <c r="H647" s="50">
        <f t="shared" si="24"/>
        <v>3157</v>
      </c>
      <c r="I647" s="35"/>
      <c r="J647" s="164"/>
    </row>
    <row r="648" spans="1:10" ht="12">
      <c r="A648" s="58" t="s">
        <v>895</v>
      </c>
      <c r="B648" s="27"/>
      <c r="D648" s="173" t="s">
        <v>1115</v>
      </c>
      <c r="E648" s="161"/>
      <c r="F648" s="181"/>
      <c r="H648" s="168"/>
      <c r="I648" s="35"/>
      <c r="J648" s="164"/>
    </row>
    <row r="649" spans="1:10" ht="12">
      <c r="A649" s="58" t="s">
        <v>898</v>
      </c>
      <c r="B649" s="27" t="s">
        <v>701</v>
      </c>
      <c r="D649" s="182" t="s">
        <v>746</v>
      </c>
      <c r="E649" s="187"/>
      <c r="F649" s="183">
        <v>2</v>
      </c>
      <c r="G649" s="31">
        <f>3422+105</f>
        <v>3527</v>
      </c>
      <c r="H649" s="50">
        <f t="shared" ref="H649:H650" si="25">ROUND((F649*G649),2)</f>
        <v>7054</v>
      </c>
      <c r="I649" s="35"/>
      <c r="J649" s="164"/>
    </row>
    <row r="650" spans="1:10" ht="12">
      <c r="A650" s="58" t="s">
        <v>900</v>
      </c>
      <c r="B650" s="27" t="s">
        <v>701</v>
      </c>
      <c r="D650" s="184" t="s">
        <v>1113</v>
      </c>
      <c r="E650" s="186"/>
      <c r="F650" s="188">
        <v>1</v>
      </c>
      <c r="G650" s="31">
        <f>3970+105+11</f>
        <v>4086</v>
      </c>
      <c r="H650" s="50">
        <f t="shared" si="25"/>
        <v>4086</v>
      </c>
      <c r="I650" s="35"/>
      <c r="J650" s="164"/>
    </row>
    <row r="651" spans="1:10" ht="12">
      <c r="A651" s="58" t="s">
        <v>903</v>
      </c>
      <c r="B651" s="27"/>
      <c r="D651" s="173" t="s">
        <v>1116</v>
      </c>
      <c r="E651" s="161"/>
      <c r="F651" s="181"/>
      <c r="H651" s="168"/>
      <c r="I651" s="35"/>
      <c r="J651" s="164"/>
    </row>
    <row r="652" spans="1:10" ht="12">
      <c r="A652" s="58" t="s">
        <v>904</v>
      </c>
      <c r="B652" s="27" t="s">
        <v>701</v>
      </c>
      <c r="D652" s="173" t="s">
        <v>735</v>
      </c>
      <c r="E652" s="161"/>
      <c r="F652" s="181">
        <v>7</v>
      </c>
      <c r="G652" s="31">
        <f>2820+105</f>
        <v>2925</v>
      </c>
      <c r="H652" s="50">
        <f t="shared" ref="H652:H653" si="26">ROUND((F652*G652),2)</f>
        <v>20475</v>
      </c>
      <c r="I652" s="35"/>
      <c r="J652" s="164"/>
    </row>
    <row r="653" spans="1:10" ht="12">
      <c r="A653" s="58" t="s">
        <v>905</v>
      </c>
      <c r="B653" s="27" t="s">
        <v>701</v>
      </c>
      <c r="D653" s="184" t="s">
        <v>1113</v>
      </c>
      <c r="E653" s="186"/>
      <c r="F653" s="185">
        <v>1</v>
      </c>
      <c r="G653" s="31">
        <f>3970+105+11</f>
        <v>4086</v>
      </c>
      <c r="H653" s="50">
        <f t="shared" si="26"/>
        <v>4086</v>
      </c>
      <c r="I653" s="35"/>
      <c r="J653" s="164"/>
    </row>
    <row r="654" spans="1:10" ht="12">
      <c r="A654" s="58" t="s">
        <v>907</v>
      </c>
      <c r="B654" s="27"/>
      <c r="D654" s="173" t="s">
        <v>1117</v>
      </c>
      <c r="E654" s="161"/>
      <c r="F654" s="181"/>
      <c r="H654" s="168"/>
      <c r="I654" s="35"/>
      <c r="J654" s="164"/>
    </row>
    <row r="655" spans="1:10" ht="12">
      <c r="A655" s="58" t="s">
        <v>908</v>
      </c>
      <c r="B655" s="27" t="s">
        <v>701</v>
      </c>
      <c r="D655" s="173" t="s">
        <v>735</v>
      </c>
      <c r="E655" s="161"/>
      <c r="F655" s="181">
        <v>2</v>
      </c>
      <c r="G655" s="31">
        <f>2820+105</f>
        <v>2925</v>
      </c>
      <c r="H655" s="50">
        <f t="shared" ref="H655:H657" si="27">ROUND((F655*G655),2)</f>
        <v>5850</v>
      </c>
      <c r="I655" s="35"/>
      <c r="J655" s="164"/>
    </row>
    <row r="656" spans="1:10" ht="12">
      <c r="A656" s="58" t="s">
        <v>909</v>
      </c>
      <c r="B656" s="27" t="s">
        <v>701</v>
      </c>
      <c r="D656" s="173" t="s">
        <v>737</v>
      </c>
      <c r="E656" s="161"/>
      <c r="F656" s="181">
        <v>1</v>
      </c>
      <c r="G656" s="31">
        <f>3052+106</f>
        <v>3158</v>
      </c>
      <c r="H656" s="50">
        <f t="shared" si="27"/>
        <v>3158</v>
      </c>
      <c r="I656" s="35"/>
      <c r="J656" s="164"/>
    </row>
    <row r="657" spans="1:10" ht="12">
      <c r="A657" s="58" t="s">
        <v>1160</v>
      </c>
      <c r="B657" s="27" t="s">
        <v>701</v>
      </c>
      <c r="D657" s="184" t="s">
        <v>1113</v>
      </c>
      <c r="E657" s="186"/>
      <c r="F657" s="185">
        <v>1</v>
      </c>
      <c r="G657" s="31">
        <f>3970+105+11</f>
        <v>4086</v>
      </c>
      <c r="H657" s="50">
        <f t="shared" si="27"/>
        <v>4086</v>
      </c>
      <c r="I657" s="35"/>
      <c r="J657" s="164"/>
    </row>
    <row r="658" spans="1:10" ht="12">
      <c r="A658" s="58" t="s">
        <v>1161</v>
      </c>
      <c r="B658" s="27"/>
      <c r="D658" s="173" t="s">
        <v>1118</v>
      </c>
      <c r="E658" s="161"/>
      <c r="F658" s="181"/>
      <c r="H658" s="168"/>
      <c r="I658" s="35"/>
      <c r="J658" s="164"/>
    </row>
    <row r="659" spans="1:10" ht="12">
      <c r="A659" s="58" t="s">
        <v>1162</v>
      </c>
      <c r="B659" s="27" t="s">
        <v>701</v>
      </c>
      <c r="D659" s="173" t="s">
        <v>1124</v>
      </c>
      <c r="E659" s="161"/>
      <c r="F659" s="181">
        <v>2</v>
      </c>
      <c r="G659" s="31">
        <f>2820+105</f>
        <v>2925</v>
      </c>
      <c r="H659" s="50">
        <f t="shared" ref="H659:H660" si="28">ROUND((F659*G659),2)</f>
        <v>5850</v>
      </c>
      <c r="I659" s="35"/>
      <c r="J659" s="164"/>
    </row>
    <row r="660" spans="1:10" ht="12">
      <c r="A660" s="58" t="s">
        <v>1163</v>
      </c>
      <c r="B660" s="27" t="s">
        <v>701</v>
      </c>
      <c r="D660" s="182" t="s">
        <v>1123</v>
      </c>
      <c r="E660" s="187"/>
      <c r="F660" s="183">
        <v>2</v>
      </c>
      <c r="G660" s="31">
        <f>3422+105</f>
        <v>3527</v>
      </c>
      <c r="H660" s="50">
        <f t="shared" si="28"/>
        <v>7054</v>
      </c>
      <c r="I660" s="35"/>
      <c r="J660" s="164"/>
    </row>
    <row r="661" spans="1:10" ht="15.6" customHeight="1">
      <c r="A661" s="58" t="s">
        <v>1164</v>
      </c>
      <c r="B661" s="27"/>
      <c r="D661" s="173"/>
      <c r="E661" s="161"/>
      <c r="F661" s="159"/>
      <c r="H661" s="178"/>
      <c r="I661" s="35"/>
      <c r="J661" s="164"/>
    </row>
    <row r="662" spans="1:10" ht="24">
      <c r="A662" s="58" t="s">
        <v>1165</v>
      </c>
      <c r="B662" s="27"/>
      <c r="D662" s="189" t="s">
        <v>1330</v>
      </c>
      <c r="E662" s="190" t="s">
        <v>1120</v>
      </c>
      <c r="F662" s="165">
        <f>SUM(F664:F696)</f>
        <v>91</v>
      </c>
      <c r="H662" s="178"/>
      <c r="I662" s="35"/>
      <c r="J662" s="164"/>
    </row>
    <row r="663" spans="1:10" ht="12">
      <c r="A663" s="58" t="s">
        <v>1166</v>
      </c>
      <c r="B663" s="27"/>
      <c r="D663" s="180" t="s">
        <v>1110</v>
      </c>
      <c r="E663" s="161"/>
      <c r="F663" s="177"/>
      <c r="H663" s="168"/>
      <c r="I663" s="35"/>
      <c r="J663" s="164"/>
    </row>
    <row r="664" spans="1:10" ht="12">
      <c r="A664" s="58" t="s">
        <v>1167</v>
      </c>
      <c r="B664" s="27" t="s">
        <v>701</v>
      </c>
      <c r="D664" s="191" t="s">
        <v>1121</v>
      </c>
      <c r="E664" s="192"/>
      <c r="F664" s="193">
        <v>6</v>
      </c>
      <c r="G664" s="31">
        <v>1320</v>
      </c>
      <c r="H664" s="50">
        <f t="shared" ref="H664:H665" si="29">ROUND((F664*G664),2)</f>
        <v>7920</v>
      </c>
      <c r="I664" s="35"/>
      <c r="J664" s="164"/>
    </row>
    <row r="665" spans="1:10" ht="12">
      <c r="A665" s="58" t="s">
        <v>1168</v>
      </c>
      <c r="B665" s="27" t="s">
        <v>701</v>
      </c>
      <c r="D665" s="184" t="s">
        <v>1113</v>
      </c>
      <c r="E665" s="186"/>
      <c r="F665" s="194">
        <v>4</v>
      </c>
      <c r="G665" s="31">
        <v>1052</v>
      </c>
      <c r="H665" s="50">
        <f t="shared" si="29"/>
        <v>4208</v>
      </c>
      <c r="I665" s="35"/>
      <c r="J665" s="164"/>
    </row>
    <row r="666" spans="1:10" ht="12">
      <c r="A666" s="58" t="s">
        <v>1169</v>
      </c>
      <c r="B666" s="27"/>
      <c r="D666" s="173" t="s">
        <v>1111</v>
      </c>
      <c r="E666" s="161"/>
      <c r="F666" s="57"/>
      <c r="H666" s="168"/>
      <c r="I666" s="35"/>
      <c r="J666" s="164"/>
    </row>
    <row r="667" spans="1:10" ht="12">
      <c r="A667" s="58" t="s">
        <v>1170</v>
      </c>
      <c r="B667" s="27" t="s">
        <v>701</v>
      </c>
      <c r="D667" s="191" t="s">
        <v>1121</v>
      </c>
      <c r="E667" s="192"/>
      <c r="F667" s="193">
        <v>1</v>
      </c>
      <c r="G667" s="31">
        <v>1320</v>
      </c>
      <c r="H667" s="50">
        <f t="shared" ref="H667:H668" si="30">ROUND((F667*G667),2)</f>
        <v>1320</v>
      </c>
      <c r="I667" s="35"/>
      <c r="J667" s="164"/>
    </row>
    <row r="668" spans="1:10" ht="12">
      <c r="A668" s="58" t="s">
        <v>1171</v>
      </c>
      <c r="B668" s="27" t="s">
        <v>701</v>
      </c>
      <c r="D668" s="184" t="s">
        <v>1113</v>
      </c>
      <c r="E668" s="186"/>
      <c r="F668" s="194">
        <v>7</v>
      </c>
      <c r="G668" s="31">
        <v>1052</v>
      </c>
      <c r="H668" s="50">
        <f t="shared" si="30"/>
        <v>7364</v>
      </c>
      <c r="I668" s="35"/>
      <c r="J668" s="164"/>
    </row>
    <row r="669" spans="1:10" ht="12">
      <c r="A669" s="58" t="s">
        <v>1172</v>
      </c>
      <c r="B669" s="27"/>
      <c r="D669" s="173" t="s">
        <v>1112</v>
      </c>
      <c r="E669" s="161"/>
      <c r="F669" s="57"/>
      <c r="H669" s="168"/>
      <c r="I669" s="35"/>
      <c r="J669" s="164"/>
    </row>
    <row r="670" spans="1:10" ht="12">
      <c r="A670" s="58" t="s">
        <v>1173</v>
      </c>
      <c r="B670" s="27" t="s">
        <v>701</v>
      </c>
      <c r="D670" s="173" t="s">
        <v>735</v>
      </c>
      <c r="E670" s="161"/>
      <c r="F670" s="57">
        <v>1</v>
      </c>
      <c r="G670" s="31">
        <v>584</v>
      </c>
      <c r="H670" s="50">
        <f t="shared" ref="H670:H673" si="31">ROUND((F670*G670),2)</f>
        <v>584</v>
      </c>
      <c r="I670" s="35"/>
      <c r="J670" s="164"/>
    </row>
    <row r="671" spans="1:10" ht="12">
      <c r="A671" s="58" t="s">
        <v>1174</v>
      </c>
      <c r="B671" s="27" t="s">
        <v>701</v>
      </c>
      <c r="D671" s="182" t="s">
        <v>746</v>
      </c>
      <c r="E671" s="187"/>
      <c r="F671" s="195">
        <v>1</v>
      </c>
      <c r="G671" s="31">
        <v>848</v>
      </c>
      <c r="H671" s="50">
        <f t="shared" si="31"/>
        <v>848</v>
      </c>
      <c r="I671" s="35"/>
      <c r="J671" s="164"/>
    </row>
    <row r="672" spans="1:10" ht="12">
      <c r="A672" s="58" t="s">
        <v>1175</v>
      </c>
      <c r="B672" s="27" t="s">
        <v>701</v>
      </c>
      <c r="D672" s="184" t="s">
        <v>1113</v>
      </c>
      <c r="E672" s="186"/>
      <c r="F672" s="194">
        <v>4</v>
      </c>
      <c r="G672" s="31">
        <v>1052</v>
      </c>
      <c r="H672" s="50">
        <f t="shared" si="31"/>
        <v>4208</v>
      </c>
      <c r="I672" s="35"/>
      <c r="J672" s="164"/>
    </row>
    <row r="673" spans="1:10" ht="12">
      <c r="A673" s="58" t="s">
        <v>1176</v>
      </c>
      <c r="B673" s="27" t="s">
        <v>701</v>
      </c>
      <c r="D673" s="191" t="s">
        <v>1121</v>
      </c>
      <c r="E673" s="192"/>
      <c r="F673" s="193">
        <v>3</v>
      </c>
      <c r="G673" s="31">
        <v>1320</v>
      </c>
      <c r="H673" s="50">
        <f t="shared" si="31"/>
        <v>3960</v>
      </c>
      <c r="I673" s="35"/>
      <c r="J673" s="164"/>
    </row>
    <row r="674" spans="1:10" ht="12">
      <c r="A674" s="58" t="s">
        <v>1177</v>
      </c>
      <c r="B674" s="27"/>
      <c r="D674" s="173" t="s">
        <v>1114</v>
      </c>
      <c r="E674" s="161"/>
      <c r="F674" s="57"/>
      <c r="H674" s="168"/>
      <c r="I674" s="35"/>
      <c r="J674" s="164"/>
    </row>
    <row r="675" spans="1:10" ht="12">
      <c r="A675" s="58" t="s">
        <v>1178</v>
      </c>
      <c r="B675" s="27" t="s">
        <v>701</v>
      </c>
      <c r="D675" s="173" t="s">
        <v>735</v>
      </c>
      <c r="E675" s="161"/>
      <c r="F675" s="57">
        <v>9</v>
      </c>
      <c r="G675" s="31">
        <v>584</v>
      </c>
      <c r="H675" s="50">
        <f t="shared" ref="H675:H696" si="32">ROUND((F675*G675),2)</f>
        <v>5256</v>
      </c>
      <c r="I675" s="35"/>
      <c r="J675" s="164"/>
    </row>
    <row r="676" spans="1:10" ht="12">
      <c r="A676" s="58" t="s">
        <v>1179</v>
      </c>
      <c r="B676" s="27" t="s">
        <v>701</v>
      </c>
      <c r="D676" s="173" t="s">
        <v>737</v>
      </c>
      <c r="E676" s="161"/>
      <c r="F676" s="57">
        <v>1</v>
      </c>
      <c r="G676" s="31">
        <v>715</v>
      </c>
      <c r="H676" s="50">
        <f t="shared" si="32"/>
        <v>715</v>
      </c>
      <c r="I676" s="35"/>
      <c r="J676" s="164"/>
    </row>
    <row r="677" spans="1:10" ht="12">
      <c r="A677" s="58" t="s">
        <v>1180</v>
      </c>
      <c r="B677" s="27" t="s">
        <v>701</v>
      </c>
      <c r="D677" s="182" t="s">
        <v>746</v>
      </c>
      <c r="E677" s="187"/>
      <c r="F677" s="195">
        <v>1</v>
      </c>
      <c r="G677" s="31">
        <v>848</v>
      </c>
      <c r="H677" s="50">
        <f t="shared" si="32"/>
        <v>848</v>
      </c>
      <c r="I677" s="35"/>
      <c r="J677" s="164"/>
    </row>
    <row r="678" spans="1:10" ht="12">
      <c r="A678" s="58" t="s">
        <v>1181</v>
      </c>
      <c r="B678" s="27" t="s">
        <v>701</v>
      </c>
      <c r="D678" s="184" t="s">
        <v>1113</v>
      </c>
      <c r="E678" s="186"/>
      <c r="F678" s="194">
        <v>1</v>
      </c>
      <c r="G678" s="31">
        <v>1052</v>
      </c>
      <c r="H678" s="50">
        <f t="shared" si="32"/>
        <v>1052</v>
      </c>
      <c r="I678" s="35"/>
      <c r="J678" s="164"/>
    </row>
    <row r="679" spans="1:10" ht="12">
      <c r="A679" s="58" t="s">
        <v>1182</v>
      </c>
      <c r="B679" s="27"/>
      <c r="D679" s="173" t="s">
        <v>1115</v>
      </c>
      <c r="E679" s="161"/>
      <c r="F679" s="57"/>
      <c r="H679" s="168"/>
      <c r="I679" s="35"/>
      <c r="J679" s="164"/>
    </row>
    <row r="680" spans="1:10" ht="12">
      <c r="A680" s="58" t="s">
        <v>1183</v>
      </c>
      <c r="B680" s="27" t="s">
        <v>701</v>
      </c>
      <c r="D680" s="182" t="s">
        <v>746</v>
      </c>
      <c r="E680" s="187"/>
      <c r="F680" s="195">
        <v>8</v>
      </c>
      <c r="G680" s="31">
        <v>848</v>
      </c>
      <c r="H680" s="50">
        <f t="shared" si="32"/>
        <v>6784</v>
      </c>
      <c r="I680" s="35"/>
      <c r="J680" s="164"/>
    </row>
    <row r="681" spans="1:10" ht="12">
      <c r="A681" s="58" t="s">
        <v>1184</v>
      </c>
      <c r="B681" s="27" t="s">
        <v>701</v>
      </c>
      <c r="D681" s="184" t="s">
        <v>1113</v>
      </c>
      <c r="E681" s="186"/>
      <c r="F681" s="194">
        <v>1</v>
      </c>
      <c r="G681" s="31">
        <v>1052</v>
      </c>
      <c r="H681" s="50">
        <f t="shared" si="32"/>
        <v>1052</v>
      </c>
      <c r="I681" s="35"/>
      <c r="J681" s="164"/>
    </row>
    <row r="682" spans="1:10" ht="12">
      <c r="A682" s="58" t="s">
        <v>1185</v>
      </c>
      <c r="B682" s="27" t="s">
        <v>701</v>
      </c>
      <c r="D682" s="191" t="s">
        <v>1121</v>
      </c>
      <c r="E682" s="192"/>
      <c r="F682" s="193">
        <v>2</v>
      </c>
      <c r="G682" s="31">
        <v>1320</v>
      </c>
      <c r="H682" s="50">
        <f t="shared" si="32"/>
        <v>2640</v>
      </c>
      <c r="I682" s="35"/>
      <c r="J682" s="164"/>
    </row>
    <row r="683" spans="1:10" ht="12">
      <c r="A683" s="58" t="s">
        <v>1186</v>
      </c>
      <c r="B683" s="27"/>
      <c r="D683" s="173" t="s">
        <v>1116</v>
      </c>
      <c r="E683" s="161"/>
      <c r="F683" s="57"/>
      <c r="H683" s="168"/>
      <c r="I683" s="35"/>
      <c r="J683" s="164"/>
    </row>
    <row r="684" spans="1:10" ht="12">
      <c r="A684" s="58" t="s">
        <v>1187</v>
      </c>
      <c r="B684" s="27" t="s">
        <v>701</v>
      </c>
      <c r="D684" s="173" t="s">
        <v>735</v>
      </c>
      <c r="E684" s="161"/>
      <c r="F684" s="57">
        <v>1</v>
      </c>
      <c r="G684" s="31">
        <v>584</v>
      </c>
      <c r="H684" s="50">
        <f t="shared" si="32"/>
        <v>584</v>
      </c>
      <c r="I684" s="35"/>
      <c r="J684" s="164"/>
    </row>
    <row r="685" spans="1:10" ht="12">
      <c r="A685" s="58" t="s">
        <v>1188</v>
      </c>
      <c r="B685" s="27" t="s">
        <v>701</v>
      </c>
      <c r="D685" s="173" t="s">
        <v>737</v>
      </c>
      <c r="E685" s="161"/>
      <c r="F685" s="57">
        <v>4</v>
      </c>
      <c r="G685" s="31">
        <v>715</v>
      </c>
      <c r="H685" s="50">
        <f t="shared" si="32"/>
        <v>2860</v>
      </c>
      <c r="I685" s="35"/>
      <c r="J685" s="164"/>
    </row>
    <row r="686" spans="1:10" ht="12">
      <c r="A686" s="58" t="s">
        <v>1189</v>
      </c>
      <c r="B686" s="27" t="s">
        <v>701</v>
      </c>
      <c r="D686" s="182" t="s">
        <v>746</v>
      </c>
      <c r="E686" s="187"/>
      <c r="F686" s="195">
        <v>12</v>
      </c>
      <c r="G686" s="31">
        <v>848</v>
      </c>
      <c r="H686" s="50">
        <f t="shared" si="32"/>
        <v>10176</v>
      </c>
      <c r="I686" s="35"/>
      <c r="J686" s="164"/>
    </row>
    <row r="687" spans="1:10" ht="12">
      <c r="A687" s="58" t="s">
        <v>1190</v>
      </c>
      <c r="B687" s="27" t="s">
        <v>701</v>
      </c>
      <c r="D687" s="191" t="s">
        <v>1121</v>
      </c>
      <c r="E687" s="192"/>
      <c r="F687" s="193">
        <v>1</v>
      </c>
      <c r="G687" s="31">
        <v>1320</v>
      </c>
      <c r="H687" s="50">
        <f t="shared" si="32"/>
        <v>1320</v>
      </c>
      <c r="I687" s="35"/>
      <c r="J687" s="164"/>
    </row>
    <row r="688" spans="1:10" ht="12">
      <c r="A688" s="58" t="s">
        <v>1191</v>
      </c>
      <c r="B688" s="27"/>
      <c r="D688" s="173" t="s">
        <v>1117</v>
      </c>
      <c r="E688" s="161"/>
      <c r="F688" s="57"/>
      <c r="H688" s="168"/>
      <c r="I688" s="35"/>
      <c r="J688" s="164"/>
    </row>
    <row r="689" spans="1:10" ht="12">
      <c r="A689" s="58" t="s">
        <v>1192</v>
      </c>
      <c r="B689" s="27" t="s">
        <v>701</v>
      </c>
      <c r="D689" s="173" t="s">
        <v>735</v>
      </c>
      <c r="E689" s="161"/>
      <c r="F689" s="57">
        <v>1</v>
      </c>
      <c r="G689" s="31">
        <v>584</v>
      </c>
      <c r="H689" s="50">
        <f t="shared" si="32"/>
        <v>584</v>
      </c>
      <c r="I689" s="35"/>
      <c r="J689" s="164"/>
    </row>
    <row r="690" spans="1:10" ht="12">
      <c r="A690" s="58" t="s">
        <v>1193</v>
      </c>
      <c r="B690" s="27" t="s">
        <v>701</v>
      </c>
      <c r="D690" s="173" t="s">
        <v>737</v>
      </c>
      <c r="E690" s="161"/>
      <c r="F690" s="57">
        <v>6</v>
      </c>
      <c r="G690" s="31">
        <v>715</v>
      </c>
      <c r="H690" s="50">
        <f t="shared" si="32"/>
        <v>4290</v>
      </c>
      <c r="I690" s="35"/>
      <c r="J690" s="164"/>
    </row>
    <row r="691" spans="1:10" ht="12">
      <c r="A691" s="58" t="s">
        <v>1194</v>
      </c>
      <c r="B691" s="27" t="s">
        <v>701</v>
      </c>
      <c r="D691" s="182" t="s">
        <v>746</v>
      </c>
      <c r="E691" s="187"/>
      <c r="F691" s="195">
        <v>10</v>
      </c>
      <c r="G691" s="31">
        <v>848</v>
      </c>
      <c r="H691" s="50">
        <f t="shared" si="32"/>
        <v>8480</v>
      </c>
      <c r="I691" s="35"/>
      <c r="J691" s="164"/>
    </row>
    <row r="692" spans="1:10" ht="12">
      <c r="A692" s="58" t="s">
        <v>1195</v>
      </c>
      <c r="B692" s="27" t="s">
        <v>701</v>
      </c>
      <c r="D692" s="191" t="s">
        <v>1121</v>
      </c>
      <c r="E692" s="192"/>
      <c r="F692" s="193">
        <v>1</v>
      </c>
      <c r="G692" s="31">
        <v>1320</v>
      </c>
      <c r="H692" s="50">
        <f t="shared" si="32"/>
        <v>1320</v>
      </c>
      <c r="I692" s="35"/>
      <c r="J692" s="164"/>
    </row>
    <row r="693" spans="1:10" ht="12">
      <c r="A693" s="58" t="s">
        <v>1196</v>
      </c>
      <c r="B693" s="27"/>
      <c r="D693" s="173" t="s">
        <v>1118</v>
      </c>
      <c r="E693" s="161"/>
      <c r="F693" s="57"/>
      <c r="H693" s="168"/>
      <c r="I693" s="35"/>
      <c r="J693" s="164"/>
    </row>
    <row r="694" spans="1:10" ht="12">
      <c r="A694" s="58" t="s">
        <v>1197</v>
      </c>
      <c r="B694" s="27" t="s">
        <v>701</v>
      </c>
      <c r="D694" s="173" t="s">
        <v>1122</v>
      </c>
      <c r="E694" s="161"/>
      <c r="F694" s="57">
        <v>1</v>
      </c>
      <c r="G694" s="31">
        <v>584</v>
      </c>
      <c r="H694" s="50">
        <f t="shared" si="32"/>
        <v>584</v>
      </c>
      <c r="I694" s="35"/>
      <c r="J694" s="164"/>
    </row>
    <row r="695" spans="1:10" ht="12">
      <c r="A695" s="58" t="s">
        <v>1198</v>
      </c>
      <c r="B695" s="27" t="s">
        <v>701</v>
      </c>
      <c r="D695" s="173" t="s">
        <v>1125</v>
      </c>
      <c r="E695" s="161"/>
      <c r="F695" s="57">
        <v>2</v>
      </c>
      <c r="G695" s="31">
        <v>715</v>
      </c>
      <c r="H695" s="50">
        <f t="shared" si="32"/>
        <v>1430</v>
      </c>
      <c r="I695" s="35"/>
      <c r="J695" s="164"/>
    </row>
    <row r="696" spans="1:10" ht="12">
      <c r="A696" s="58" t="s">
        <v>1199</v>
      </c>
      <c r="B696" s="27" t="s">
        <v>701</v>
      </c>
      <c r="D696" s="191" t="s">
        <v>1121</v>
      </c>
      <c r="E696" s="192"/>
      <c r="F696" s="193">
        <v>2</v>
      </c>
      <c r="G696" s="31">
        <v>1320</v>
      </c>
      <c r="H696" s="50">
        <f t="shared" si="32"/>
        <v>2640</v>
      </c>
      <c r="I696" s="35"/>
      <c r="J696" s="164"/>
    </row>
    <row r="697" spans="1:10" ht="12">
      <c r="A697" s="58" t="s">
        <v>1200</v>
      </c>
      <c r="B697" s="27"/>
      <c r="D697" s="173"/>
      <c r="E697" s="161"/>
      <c r="F697" s="57"/>
      <c r="H697" s="168"/>
      <c r="I697" s="35"/>
      <c r="J697" s="164"/>
    </row>
    <row r="698" spans="1:10" ht="24">
      <c r="A698" s="58" t="s">
        <v>1201</v>
      </c>
      <c r="B698" s="27" t="s">
        <v>733</v>
      </c>
      <c r="D698" s="189" t="s">
        <v>751</v>
      </c>
      <c r="E698" s="161"/>
      <c r="F698" s="177">
        <f>SUM(F699:F703)</f>
        <v>154</v>
      </c>
      <c r="H698" s="168"/>
      <c r="I698" s="35"/>
      <c r="J698" s="164"/>
    </row>
    <row r="699" spans="1:10" ht="12">
      <c r="A699" s="58" t="s">
        <v>1202</v>
      </c>
      <c r="B699" s="27" t="s">
        <v>733</v>
      </c>
      <c r="D699" s="196" t="s">
        <v>735</v>
      </c>
      <c r="E699" s="161" t="s">
        <v>91</v>
      </c>
      <c r="F699" s="177">
        <v>22</v>
      </c>
      <c r="G699" s="31">
        <v>294</v>
      </c>
      <c r="H699" s="50">
        <f t="shared" ref="H699:H704" si="33">ROUND((F699*G699),2)</f>
        <v>6468</v>
      </c>
      <c r="I699" s="35"/>
      <c r="J699" s="164"/>
    </row>
    <row r="700" spans="1:10" ht="12">
      <c r="A700" s="58" t="s">
        <v>1203</v>
      </c>
      <c r="B700" s="27" t="s">
        <v>733</v>
      </c>
      <c r="D700" s="196" t="s">
        <v>737</v>
      </c>
      <c r="E700" s="40" t="s">
        <v>744</v>
      </c>
      <c r="F700" s="177">
        <v>26</v>
      </c>
      <c r="G700" s="31">
        <v>335</v>
      </c>
      <c r="H700" s="50">
        <f t="shared" si="33"/>
        <v>8710</v>
      </c>
      <c r="I700" s="35"/>
      <c r="J700" s="164"/>
    </row>
    <row r="701" spans="1:10" ht="12">
      <c r="A701" s="58" t="s">
        <v>1204</v>
      </c>
      <c r="B701" s="27" t="s">
        <v>733</v>
      </c>
      <c r="D701" s="197" t="s">
        <v>746</v>
      </c>
      <c r="E701" s="187" t="s">
        <v>91</v>
      </c>
      <c r="F701" s="198">
        <v>48</v>
      </c>
      <c r="G701" s="31">
        <v>456</v>
      </c>
      <c r="H701" s="50">
        <f t="shared" si="33"/>
        <v>21888</v>
      </c>
      <c r="I701" s="35"/>
      <c r="J701" s="164"/>
    </row>
    <row r="702" spans="1:10" ht="12">
      <c r="A702" s="58" t="s">
        <v>1205</v>
      </c>
      <c r="B702" s="27" t="s">
        <v>733</v>
      </c>
      <c r="D702" s="199" t="s">
        <v>740</v>
      </c>
      <c r="E702" s="186" t="s">
        <v>91</v>
      </c>
      <c r="F702" s="200">
        <v>28</v>
      </c>
      <c r="G702" s="31">
        <v>512</v>
      </c>
      <c r="H702" s="50">
        <f t="shared" si="33"/>
        <v>14336</v>
      </c>
      <c r="I702" s="35"/>
      <c r="J702" s="164"/>
    </row>
    <row r="703" spans="1:10" ht="12">
      <c r="A703" s="58" t="s">
        <v>1206</v>
      </c>
      <c r="B703" s="27" t="s">
        <v>733</v>
      </c>
      <c r="D703" s="201" t="s">
        <v>749</v>
      </c>
      <c r="E703" s="192" t="s">
        <v>91</v>
      </c>
      <c r="F703" s="202">
        <v>30</v>
      </c>
      <c r="G703" s="31">
        <v>615</v>
      </c>
      <c r="H703" s="50">
        <f t="shared" si="33"/>
        <v>18450</v>
      </c>
      <c r="I703" s="35"/>
      <c r="J703" s="164"/>
    </row>
    <row r="704" spans="1:10" ht="12">
      <c r="A704" s="58" t="s">
        <v>1207</v>
      </c>
      <c r="B704" s="27" t="s">
        <v>733</v>
      </c>
      <c r="D704" s="189" t="s">
        <v>758</v>
      </c>
      <c r="E704" s="161" t="s">
        <v>91</v>
      </c>
      <c r="F704" s="177">
        <v>504</v>
      </c>
      <c r="G704" s="31">
        <v>685</v>
      </c>
      <c r="H704" s="50">
        <f t="shared" si="33"/>
        <v>345240</v>
      </c>
      <c r="I704" s="35"/>
      <c r="J704" s="164"/>
    </row>
    <row r="705" spans="1:47" ht="12">
      <c r="A705" s="58" t="s">
        <v>1208</v>
      </c>
      <c r="B705" s="27"/>
      <c r="D705" s="196"/>
      <c r="E705" s="161"/>
      <c r="F705" s="177"/>
      <c r="H705" s="168"/>
      <c r="I705" s="35"/>
      <c r="J705" s="164"/>
    </row>
    <row r="706" spans="1:47" ht="48">
      <c r="A706" s="58" t="s">
        <v>1209</v>
      </c>
      <c r="B706" s="27"/>
      <c r="D706" s="35" t="s">
        <v>1429</v>
      </c>
      <c r="E706" s="161"/>
      <c r="F706" s="177"/>
      <c r="H706" s="168"/>
      <c r="I706" s="35"/>
      <c r="J706" s="164"/>
    </row>
    <row r="707" spans="1:47" s="203" customFormat="1" ht="12">
      <c r="A707" s="58" t="s">
        <v>1210</v>
      </c>
      <c r="B707" s="27" t="s">
        <v>733</v>
      </c>
      <c r="C707" s="27"/>
      <c r="D707" s="175" t="s">
        <v>762</v>
      </c>
      <c r="E707" s="40" t="s">
        <v>744</v>
      </c>
      <c r="F707" s="177">
        <v>111</v>
      </c>
      <c r="G707" s="31">
        <v>863</v>
      </c>
      <c r="H707" s="50">
        <f t="shared" ref="H707:H709" si="34">ROUND((F707*G707),2)</f>
        <v>95793</v>
      </c>
      <c r="J707" s="164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F707" s="35"/>
      <c r="AG707" s="35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</row>
    <row r="708" spans="1:47" s="203" customFormat="1" ht="12">
      <c r="A708" s="58" t="s">
        <v>1211</v>
      </c>
      <c r="B708" s="27" t="s">
        <v>733</v>
      </c>
      <c r="C708" s="27"/>
      <c r="D708" s="175" t="s">
        <v>764</v>
      </c>
      <c r="E708" s="40" t="s">
        <v>744</v>
      </c>
      <c r="F708" s="177">
        <v>185</v>
      </c>
      <c r="G708" s="31">
        <v>863</v>
      </c>
      <c r="H708" s="50">
        <f t="shared" si="34"/>
        <v>159655</v>
      </c>
      <c r="J708" s="164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F708" s="35"/>
      <c r="AG708" s="35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</row>
    <row r="709" spans="1:47" s="203" customFormat="1" ht="12">
      <c r="A709" s="58" t="s">
        <v>1212</v>
      </c>
      <c r="B709" s="27" t="s">
        <v>733</v>
      </c>
      <c r="C709" s="27"/>
      <c r="D709" s="175" t="s">
        <v>1333</v>
      </c>
      <c r="E709" s="40" t="s">
        <v>744</v>
      </c>
      <c r="F709" s="177">
        <v>118</v>
      </c>
      <c r="G709" s="31">
        <v>1290</v>
      </c>
      <c r="H709" s="50">
        <f t="shared" si="34"/>
        <v>152220</v>
      </c>
      <c r="J709" s="164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F709" s="35"/>
      <c r="AG709" s="35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</row>
    <row r="710" spans="1:47" s="203" customFormat="1" ht="24">
      <c r="A710" s="58" t="s">
        <v>1213</v>
      </c>
      <c r="B710" s="27"/>
      <c r="C710" s="27"/>
      <c r="D710" s="175" t="s">
        <v>1324</v>
      </c>
      <c r="E710" s="40" t="s">
        <v>744</v>
      </c>
      <c r="F710" s="177"/>
      <c r="G710" s="31"/>
      <c r="H710" s="168"/>
      <c r="J710" s="164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F710" s="35"/>
      <c r="AG710" s="35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</row>
    <row r="711" spans="1:47" s="203" customFormat="1" ht="12">
      <c r="A711" s="58" t="s">
        <v>1214</v>
      </c>
      <c r="B711" s="27" t="s">
        <v>733</v>
      </c>
      <c r="C711" s="27"/>
      <c r="D711" s="175" t="s">
        <v>768</v>
      </c>
      <c r="E711" s="40" t="s">
        <v>744</v>
      </c>
      <c r="F711" s="177">
        <v>1</v>
      </c>
      <c r="G711" s="31">
        <v>391</v>
      </c>
      <c r="H711" s="50">
        <f t="shared" ref="H711:H760" si="35">ROUND((F711*G711),2)</f>
        <v>391</v>
      </c>
      <c r="J711" s="164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F711" s="35"/>
      <c r="AG711" s="35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</row>
    <row r="712" spans="1:47" s="203" customFormat="1" ht="12">
      <c r="A712" s="58" t="s">
        <v>1215</v>
      </c>
      <c r="B712" s="27" t="s">
        <v>733</v>
      </c>
      <c r="C712" s="27"/>
      <c r="D712" s="175" t="s">
        <v>770</v>
      </c>
      <c r="E712" s="40" t="s">
        <v>744</v>
      </c>
      <c r="F712" s="177">
        <v>1</v>
      </c>
      <c r="G712" s="31">
        <v>397</v>
      </c>
      <c r="H712" s="50">
        <f t="shared" si="35"/>
        <v>397</v>
      </c>
      <c r="J712" s="164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F712" s="35"/>
      <c r="AG712" s="35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</row>
    <row r="713" spans="1:47" s="203" customFormat="1" ht="36">
      <c r="A713" s="58" t="s">
        <v>1216</v>
      </c>
      <c r="B713" s="27"/>
      <c r="C713" s="27"/>
      <c r="D713" s="204" t="s">
        <v>1430</v>
      </c>
      <c r="E713" s="40"/>
      <c r="F713" s="177"/>
      <c r="G713" s="31"/>
      <c r="H713" s="50"/>
      <c r="J713" s="164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F713" s="35"/>
      <c r="AG713" s="35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</row>
    <row r="714" spans="1:47" s="203" customFormat="1" ht="12">
      <c r="A714" s="58" t="s">
        <v>1217</v>
      </c>
      <c r="B714" s="27"/>
      <c r="C714" s="27"/>
      <c r="D714" s="175"/>
      <c r="E714" s="40"/>
      <c r="F714" s="177"/>
      <c r="G714" s="31"/>
      <c r="H714" s="50"/>
      <c r="J714" s="164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F714" s="35"/>
      <c r="AG714" s="35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</row>
    <row r="715" spans="1:47" s="203" customFormat="1" ht="12">
      <c r="A715" s="58" t="s">
        <v>1218</v>
      </c>
      <c r="B715" s="27" t="s">
        <v>733</v>
      </c>
      <c r="C715" s="27"/>
      <c r="D715" s="175" t="s">
        <v>1128</v>
      </c>
      <c r="E715" s="40" t="s">
        <v>744</v>
      </c>
      <c r="F715" s="177">
        <v>41</v>
      </c>
      <c r="G715" s="31">
        <v>391</v>
      </c>
      <c r="H715" s="50">
        <f t="shared" si="35"/>
        <v>16031</v>
      </c>
      <c r="J715" s="164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F715" s="35"/>
      <c r="AG715" s="35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</row>
    <row r="716" spans="1:47" s="203" customFormat="1" ht="12">
      <c r="A716" s="58" t="s">
        <v>1219</v>
      </c>
      <c r="B716" s="27" t="s">
        <v>733</v>
      </c>
      <c r="C716" s="27"/>
      <c r="D716" s="175" t="s">
        <v>1129</v>
      </c>
      <c r="E716" s="40" t="s">
        <v>744</v>
      </c>
      <c r="F716" s="177">
        <v>271</v>
      </c>
      <c r="G716" s="31">
        <v>397</v>
      </c>
      <c r="H716" s="50">
        <f t="shared" si="35"/>
        <v>107587</v>
      </c>
      <c r="J716" s="164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F716" s="35"/>
      <c r="AG716" s="35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</row>
    <row r="717" spans="1:47" s="203" customFormat="1" ht="12">
      <c r="A717" s="58" t="s">
        <v>1220</v>
      </c>
      <c r="B717" s="27" t="s">
        <v>733</v>
      </c>
      <c r="C717" s="27"/>
      <c r="D717" s="175" t="s">
        <v>1127</v>
      </c>
      <c r="E717" s="40" t="s">
        <v>744</v>
      </c>
      <c r="F717" s="177">
        <v>51</v>
      </c>
      <c r="G717" s="31">
        <v>495</v>
      </c>
      <c r="H717" s="50">
        <f t="shared" si="35"/>
        <v>25245</v>
      </c>
      <c r="J717" s="164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F717" s="35"/>
      <c r="AG717" s="35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</row>
    <row r="718" spans="1:47" s="203" customFormat="1" ht="12">
      <c r="A718" s="58" t="s">
        <v>1221</v>
      </c>
      <c r="B718" s="27"/>
      <c r="C718" s="27"/>
      <c r="D718" s="175" t="s">
        <v>772</v>
      </c>
      <c r="E718" s="40"/>
      <c r="F718" s="177"/>
      <c r="G718" s="31"/>
      <c r="H718" s="50">
        <f t="shared" si="35"/>
        <v>0</v>
      </c>
      <c r="J718" s="164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F718" s="35"/>
      <c r="AG718" s="35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</row>
    <row r="719" spans="1:47" s="203" customFormat="1" ht="12">
      <c r="A719" s="58" t="s">
        <v>1222</v>
      </c>
      <c r="B719" s="27" t="s">
        <v>733</v>
      </c>
      <c r="C719" s="27"/>
      <c r="D719" s="175" t="s">
        <v>1130</v>
      </c>
      <c r="E719" s="40" t="s">
        <v>744</v>
      </c>
      <c r="F719" s="159">
        <v>18</v>
      </c>
      <c r="G719" s="31">
        <f>1.15*332</f>
        <v>381.79999999999995</v>
      </c>
      <c r="H719" s="50">
        <f t="shared" si="35"/>
        <v>6872.4</v>
      </c>
      <c r="J719" s="164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F719" s="35"/>
      <c r="AG719" s="35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</row>
    <row r="720" spans="1:47" s="203" customFormat="1" ht="12">
      <c r="A720" s="58" t="s">
        <v>1223</v>
      </c>
      <c r="B720" s="27" t="s">
        <v>733</v>
      </c>
      <c r="C720" s="27"/>
      <c r="D720" s="175" t="s">
        <v>1131</v>
      </c>
      <c r="E720" s="40" t="s">
        <v>744</v>
      </c>
      <c r="F720" s="159">
        <v>14</v>
      </c>
      <c r="G720" s="31">
        <f>1.15*332</f>
        <v>381.79999999999995</v>
      </c>
      <c r="H720" s="50">
        <f t="shared" si="35"/>
        <v>5345.2</v>
      </c>
      <c r="J720" s="164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F720" s="35"/>
      <c r="AG720" s="35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</row>
    <row r="721" spans="1:47" s="203" customFormat="1" ht="12">
      <c r="A721" s="58" t="s">
        <v>1224</v>
      </c>
      <c r="B721" s="27" t="s">
        <v>733</v>
      </c>
      <c r="C721" s="27"/>
      <c r="D721" s="175" t="s">
        <v>1132</v>
      </c>
      <c r="E721" s="40" t="s">
        <v>744</v>
      </c>
      <c r="F721" s="159">
        <v>21</v>
      </c>
      <c r="G721" s="31">
        <f>1.15*332</f>
        <v>381.79999999999995</v>
      </c>
      <c r="H721" s="50">
        <f t="shared" si="35"/>
        <v>8017.8</v>
      </c>
      <c r="J721" s="164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F721" s="35"/>
      <c r="AG721" s="35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</row>
    <row r="722" spans="1:47" s="203" customFormat="1" ht="28.8">
      <c r="A722" s="58" t="s">
        <v>1225</v>
      </c>
      <c r="B722" s="27" t="s">
        <v>1133</v>
      </c>
      <c r="C722" s="27"/>
      <c r="D722" s="86" t="s">
        <v>1317</v>
      </c>
      <c r="E722" s="162" t="s">
        <v>91</v>
      </c>
      <c r="F722" s="159">
        <v>205</v>
      </c>
      <c r="G722" s="31">
        <f>1.15*130</f>
        <v>149.5</v>
      </c>
      <c r="H722" s="50">
        <f t="shared" si="35"/>
        <v>30647.5</v>
      </c>
      <c r="J722" s="164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F722" s="35"/>
      <c r="AG722" s="35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</row>
    <row r="723" spans="1:47" s="203" customFormat="1" ht="12">
      <c r="A723" s="58" t="s">
        <v>1226</v>
      </c>
      <c r="B723" s="27" t="s">
        <v>701</v>
      </c>
      <c r="C723" s="27"/>
      <c r="D723" s="175" t="s">
        <v>782</v>
      </c>
      <c r="E723" s="162" t="s">
        <v>91</v>
      </c>
      <c r="F723" s="159">
        <v>504</v>
      </c>
      <c r="G723" s="31">
        <v>256</v>
      </c>
      <c r="H723" s="50">
        <f t="shared" si="35"/>
        <v>129024</v>
      </c>
      <c r="J723" s="164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F723" s="35"/>
      <c r="AG723" s="35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</row>
    <row r="724" spans="1:47" s="203" customFormat="1" ht="12">
      <c r="A724" s="58" t="s">
        <v>1227</v>
      </c>
      <c r="B724" s="27" t="s">
        <v>784</v>
      </c>
      <c r="C724" s="27"/>
      <c r="D724" s="175" t="s">
        <v>785</v>
      </c>
      <c r="E724" s="162" t="s">
        <v>91</v>
      </c>
      <c r="F724" s="159">
        <v>504</v>
      </c>
      <c r="G724" s="31">
        <v>72.400000000000006</v>
      </c>
      <c r="H724" s="50">
        <f t="shared" si="35"/>
        <v>36489.599999999999</v>
      </c>
      <c r="J724" s="164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F724" s="35"/>
      <c r="AG724" s="35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</row>
    <row r="725" spans="1:47" s="203" customFormat="1" ht="12">
      <c r="A725" s="58" t="s">
        <v>1228</v>
      </c>
      <c r="B725" s="27" t="s">
        <v>1334</v>
      </c>
      <c r="C725" s="27"/>
      <c r="D725" s="175" t="s">
        <v>787</v>
      </c>
      <c r="E725" s="162" t="s">
        <v>91</v>
      </c>
      <c r="F725" s="159">
        <v>410</v>
      </c>
      <c r="G725" s="31">
        <v>72.400000000000006</v>
      </c>
      <c r="H725" s="50">
        <f t="shared" si="35"/>
        <v>29684</v>
      </c>
      <c r="J725" s="164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F725" s="35"/>
      <c r="AG725" s="35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</row>
    <row r="726" spans="1:47" s="203" customFormat="1" ht="12">
      <c r="A726" s="58" t="s">
        <v>1229</v>
      </c>
      <c r="B726" s="27" t="s">
        <v>701</v>
      </c>
      <c r="C726" s="27"/>
      <c r="D726" s="175" t="s">
        <v>789</v>
      </c>
      <c r="E726" s="162" t="s">
        <v>91</v>
      </c>
      <c r="F726" s="159">
        <v>60</v>
      </c>
      <c r="G726" s="31">
        <v>315</v>
      </c>
      <c r="H726" s="50">
        <f t="shared" si="35"/>
        <v>18900</v>
      </c>
      <c r="J726" s="164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F726" s="35"/>
      <c r="AG726" s="35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</row>
    <row r="727" spans="1:47" s="203" customFormat="1" ht="12">
      <c r="A727" s="58" t="s">
        <v>1230</v>
      </c>
      <c r="B727" s="27" t="s">
        <v>791</v>
      </c>
      <c r="C727" s="27"/>
      <c r="D727" s="175" t="s">
        <v>785</v>
      </c>
      <c r="E727" s="162" t="s">
        <v>91</v>
      </c>
      <c r="F727" s="159">
        <v>60</v>
      </c>
      <c r="G727" s="31">
        <v>88.2</v>
      </c>
      <c r="H727" s="50">
        <f t="shared" si="35"/>
        <v>5292</v>
      </c>
      <c r="J727" s="164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F727" s="35"/>
      <c r="AG727" s="35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</row>
    <row r="728" spans="1:47" s="203" customFormat="1" ht="12">
      <c r="A728" s="58" t="s">
        <v>1231</v>
      </c>
      <c r="B728" s="27" t="s">
        <v>1334</v>
      </c>
      <c r="C728" s="27"/>
      <c r="D728" s="175" t="s">
        <v>787</v>
      </c>
      <c r="E728" s="162" t="s">
        <v>91</v>
      </c>
      <c r="F728" s="159">
        <v>60</v>
      </c>
      <c r="G728" s="31">
        <v>48</v>
      </c>
      <c r="H728" s="50">
        <f t="shared" si="35"/>
        <v>2880</v>
      </c>
      <c r="J728" s="164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F728" s="35"/>
      <c r="AG728" s="35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</row>
    <row r="729" spans="1:47" s="203" customFormat="1" ht="12">
      <c r="A729" s="58" t="s">
        <v>1232</v>
      </c>
      <c r="B729" s="27"/>
      <c r="C729" s="27"/>
      <c r="D729" s="86"/>
      <c r="E729" s="162"/>
      <c r="F729" s="159"/>
      <c r="G729" s="31"/>
      <c r="H729" s="50"/>
      <c r="J729" s="164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F729" s="35"/>
      <c r="AG729" s="35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</row>
    <row r="730" spans="1:47" s="203" customFormat="1" ht="24">
      <c r="A730" s="58" t="s">
        <v>1233</v>
      </c>
      <c r="B730" s="27" t="s">
        <v>1329</v>
      </c>
      <c r="C730" s="27"/>
      <c r="D730" s="86" t="s">
        <v>795</v>
      </c>
      <c r="E730" s="162" t="s">
        <v>796</v>
      </c>
      <c r="F730" s="159">
        <v>504</v>
      </c>
      <c r="G730" s="31">
        <v>140</v>
      </c>
      <c r="H730" s="50">
        <f t="shared" si="35"/>
        <v>70560</v>
      </c>
      <c r="J730" s="164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F730" s="35"/>
      <c r="AG730" s="35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</row>
    <row r="731" spans="1:47" s="203" customFormat="1" ht="12">
      <c r="A731" s="58" t="s">
        <v>1234</v>
      </c>
      <c r="B731" s="27"/>
      <c r="C731" s="27"/>
      <c r="D731" s="86"/>
      <c r="E731" s="162"/>
      <c r="F731" s="159"/>
      <c r="G731" s="31"/>
      <c r="H731" s="50"/>
      <c r="J731" s="164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F731" s="35"/>
      <c r="AG731" s="35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</row>
    <row r="732" spans="1:47" s="203" customFormat="1" ht="24">
      <c r="A732" s="58" t="s">
        <v>1235</v>
      </c>
      <c r="B732" s="27" t="s">
        <v>1331</v>
      </c>
      <c r="C732" s="27"/>
      <c r="D732" s="189" t="s">
        <v>799</v>
      </c>
      <c r="E732" s="162" t="s">
        <v>796</v>
      </c>
      <c r="F732" s="177">
        <v>410</v>
      </c>
      <c r="G732" s="31">
        <v>202</v>
      </c>
      <c r="H732" s="50">
        <f t="shared" si="35"/>
        <v>82820</v>
      </c>
      <c r="J732" s="164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F732" s="35"/>
      <c r="AG732" s="35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</row>
    <row r="733" spans="1:47" s="203" customFormat="1" ht="36">
      <c r="A733" s="58" t="s">
        <v>1236</v>
      </c>
      <c r="B733" s="27" t="s">
        <v>798</v>
      </c>
      <c r="C733" s="27"/>
      <c r="D733" s="189" t="s">
        <v>1332</v>
      </c>
      <c r="E733" s="162" t="s">
        <v>796</v>
      </c>
      <c r="F733" s="177">
        <f>416+154</f>
        <v>570</v>
      </c>
      <c r="G733" s="31">
        <v>202</v>
      </c>
      <c r="H733" s="50">
        <f t="shared" si="35"/>
        <v>115140</v>
      </c>
      <c r="J733" s="164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F733" s="35"/>
      <c r="AG733" s="35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</row>
    <row r="734" spans="1:47" s="203" customFormat="1" ht="24">
      <c r="A734" s="58" t="s">
        <v>1237</v>
      </c>
      <c r="B734" s="27" t="s">
        <v>802</v>
      </c>
      <c r="C734" s="27"/>
      <c r="D734" s="189" t="s">
        <v>1335</v>
      </c>
      <c r="E734" s="162" t="s">
        <v>796</v>
      </c>
      <c r="F734" s="177">
        <v>410</v>
      </c>
      <c r="G734" s="31">
        <v>241</v>
      </c>
      <c r="H734" s="50">
        <f t="shared" si="35"/>
        <v>98810</v>
      </c>
      <c r="J734" s="164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F734" s="35"/>
      <c r="AG734" s="35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</row>
    <row r="735" spans="1:47" s="203" customFormat="1" ht="36">
      <c r="A735" s="58" t="s">
        <v>1238</v>
      </c>
      <c r="B735" s="26" t="s">
        <v>804</v>
      </c>
      <c r="C735" s="27"/>
      <c r="D735" s="175" t="s">
        <v>1336</v>
      </c>
      <c r="E735" s="162" t="s">
        <v>796</v>
      </c>
      <c r="F735" s="177">
        <v>410</v>
      </c>
      <c r="G735" s="31">
        <v>537</v>
      </c>
      <c r="H735" s="50">
        <f t="shared" si="35"/>
        <v>220170</v>
      </c>
      <c r="J735" s="164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F735" s="35"/>
      <c r="AG735" s="35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</row>
    <row r="736" spans="1:47" s="203" customFormat="1" ht="24">
      <c r="A736" s="58" t="s">
        <v>1239</v>
      </c>
      <c r="B736" s="27" t="s">
        <v>802</v>
      </c>
      <c r="C736" s="27"/>
      <c r="D736" s="175" t="s">
        <v>806</v>
      </c>
      <c r="E736" s="162" t="s">
        <v>796</v>
      </c>
      <c r="F736" s="177">
        <v>57</v>
      </c>
      <c r="G736" s="31">
        <v>310</v>
      </c>
      <c r="H736" s="50">
        <f t="shared" si="35"/>
        <v>17670</v>
      </c>
      <c r="J736" s="164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F736" s="35"/>
      <c r="AG736" s="35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</row>
    <row r="737" spans="1:47" s="203" customFormat="1" ht="12">
      <c r="A737" s="58" t="s">
        <v>1240</v>
      </c>
      <c r="B737" s="27" t="s">
        <v>1337</v>
      </c>
      <c r="C737" s="27"/>
      <c r="D737" s="175" t="s">
        <v>808</v>
      </c>
      <c r="E737" s="162" t="s">
        <v>796</v>
      </c>
      <c r="F737" s="177">
        <v>91</v>
      </c>
      <c r="G737" s="31">
        <v>310</v>
      </c>
      <c r="H737" s="50">
        <f t="shared" si="35"/>
        <v>28210</v>
      </c>
      <c r="J737" s="164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F737" s="35"/>
      <c r="AG737" s="35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</row>
    <row r="738" spans="1:47" s="203" customFormat="1" ht="36">
      <c r="A738" s="58" t="s">
        <v>1241</v>
      </c>
      <c r="B738" s="27" t="s">
        <v>798</v>
      </c>
      <c r="C738" s="27"/>
      <c r="D738" s="175" t="s">
        <v>1325</v>
      </c>
      <c r="E738" s="162" t="s">
        <v>796</v>
      </c>
      <c r="F738" s="177">
        <v>2</v>
      </c>
      <c r="G738" s="31">
        <v>202</v>
      </c>
      <c r="H738" s="50">
        <f t="shared" si="35"/>
        <v>404</v>
      </c>
      <c r="J738" s="164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F738" s="35"/>
      <c r="AG738" s="35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</row>
    <row r="739" spans="1:47" s="203" customFormat="1" ht="24">
      <c r="A739" s="58" t="s">
        <v>1242</v>
      </c>
      <c r="B739" s="27" t="s">
        <v>1338</v>
      </c>
      <c r="C739" s="27"/>
      <c r="D739" s="175" t="s">
        <v>811</v>
      </c>
      <c r="E739" s="162" t="s">
        <v>796</v>
      </c>
      <c r="F739" s="177">
        <v>2</v>
      </c>
      <c r="G739" s="31">
        <v>384</v>
      </c>
      <c r="H739" s="50">
        <f t="shared" si="35"/>
        <v>768</v>
      </c>
      <c r="J739" s="164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F739" s="35"/>
      <c r="AG739" s="35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</row>
    <row r="740" spans="1:47" s="203" customFormat="1" ht="24">
      <c r="A740" s="58" t="s">
        <v>1243</v>
      </c>
      <c r="B740" s="27" t="s">
        <v>1339</v>
      </c>
      <c r="C740" s="27"/>
      <c r="D740" s="86" t="s">
        <v>813</v>
      </c>
      <c r="E740" s="162" t="s">
        <v>672</v>
      </c>
      <c r="F740" s="159">
        <v>3.0000000000000001E-3</v>
      </c>
      <c r="G740" s="31">
        <f>SUM(H662:H739)</f>
        <v>1963142.5</v>
      </c>
      <c r="H740" s="50">
        <f t="shared" si="35"/>
        <v>5889.43</v>
      </c>
      <c r="J740" s="164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F740" s="35"/>
      <c r="AG740" s="35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</row>
    <row r="741" spans="1:47" s="203" customFormat="1" ht="12">
      <c r="A741" s="58" t="s">
        <v>1244</v>
      </c>
      <c r="B741" s="27"/>
      <c r="C741" s="27"/>
      <c r="D741" s="175"/>
      <c r="E741" s="160"/>
      <c r="F741" s="177"/>
      <c r="G741" s="31"/>
      <c r="H741" s="50"/>
      <c r="J741" s="164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F741" s="35"/>
      <c r="AG741" s="35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</row>
    <row r="742" spans="1:47" s="203" customFormat="1" ht="36">
      <c r="A742" s="58" t="s">
        <v>1245</v>
      </c>
      <c r="B742" s="27" t="s">
        <v>1341</v>
      </c>
      <c r="C742" s="27"/>
      <c r="D742" s="175" t="s">
        <v>816</v>
      </c>
      <c r="E742" s="160" t="s">
        <v>41</v>
      </c>
      <c r="F742" s="30">
        <f>SUM(F55+F65+F73)</f>
        <v>2268.7898</v>
      </c>
      <c r="G742" s="31">
        <v>17.899999999999999</v>
      </c>
      <c r="H742" s="50">
        <f t="shared" si="35"/>
        <v>40611.339999999997</v>
      </c>
      <c r="J742" s="20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F742" s="35"/>
      <c r="AG742" s="35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</row>
    <row r="743" spans="1:47" s="203" customFormat="1" ht="19.2">
      <c r="A743" s="58" t="s">
        <v>1246</v>
      </c>
      <c r="B743" s="27" t="s">
        <v>818</v>
      </c>
      <c r="C743" s="27"/>
      <c r="D743" s="175" t="s">
        <v>819</v>
      </c>
      <c r="E743" s="160" t="s">
        <v>91</v>
      </c>
      <c r="F743" s="30">
        <v>2</v>
      </c>
      <c r="G743" s="31">
        <v>32000</v>
      </c>
      <c r="H743" s="50">
        <f t="shared" si="35"/>
        <v>64000</v>
      </c>
      <c r="J743" s="164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F743" s="35"/>
      <c r="AG743" s="35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</row>
    <row r="744" spans="1:47" s="203" customFormat="1" ht="27" customHeight="1">
      <c r="A744" s="58" t="s">
        <v>1247</v>
      </c>
      <c r="B744" s="27"/>
      <c r="C744" s="27"/>
      <c r="D744" s="189" t="s">
        <v>1340</v>
      </c>
      <c r="E744" s="160"/>
      <c r="F744" s="177"/>
      <c r="G744" s="31"/>
      <c r="H744" s="50"/>
      <c r="J744" s="164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F744" s="35"/>
      <c r="AG744" s="35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</row>
    <row r="745" spans="1:47" s="203" customFormat="1" ht="12">
      <c r="A745" s="58" t="s">
        <v>1248</v>
      </c>
      <c r="B745" s="27"/>
      <c r="C745" s="27"/>
      <c r="D745" s="173" t="s">
        <v>824</v>
      </c>
      <c r="E745" s="161"/>
      <c r="F745" s="177"/>
      <c r="G745" s="31"/>
      <c r="H745" s="50"/>
      <c r="I745" s="206">
        <f>SUM(I747:I752)</f>
        <v>3.0199999999999996</v>
      </c>
      <c r="J745" s="164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F745" s="35"/>
      <c r="AG745" s="35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</row>
    <row r="746" spans="1:47" s="203" customFormat="1" ht="12">
      <c r="A746" s="58" t="s">
        <v>1249</v>
      </c>
      <c r="B746" s="27"/>
      <c r="C746" s="27"/>
      <c r="D746" s="175"/>
      <c r="E746" s="160"/>
      <c r="F746" s="177"/>
      <c r="G746" s="31"/>
      <c r="H746" s="50"/>
      <c r="I746" s="206"/>
      <c r="J746" s="164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F746" s="35"/>
      <c r="AG746" s="35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</row>
    <row r="747" spans="1:47" s="203" customFormat="1" ht="24">
      <c r="A747" s="58" t="s">
        <v>1250</v>
      </c>
      <c r="B747" s="27" t="s">
        <v>1342</v>
      </c>
      <c r="C747" s="27"/>
      <c r="D747" s="175" t="s">
        <v>829</v>
      </c>
      <c r="E747" s="160" t="s">
        <v>91</v>
      </c>
      <c r="F747" s="177">
        <v>410</v>
      </c>
      <c r="G747" s="31">
        <v>172</v>
      </c>
      <c r="H747" s="50">
        <f t="shared" si="35"/>
        <v>70520</v>
      </c>
      <c r="I747" s="207">
        <f>ROUND((F747*0.00278),2)</f>
        <v>1.1399999999999999</v>
      </c>
      <c r="J747" s="164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F747" s="35"/>
      <c r="AG747" s="35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</row>
    <row r="748" spans="1:47" s="203" customFormat="1" ht="24">
      <c r="A748" s="58" t="s">
        <v>1251</v>
      </c>
      <c r="B748" s="27" t="s">
        <v>1342</v>
      </c>
      <c r="C748" s="27"/>
      <c r="D748" s="175" t="s">
        <v>831</v>
      </c>
      <c r="E748" s="160" t="s">
        <v>91</v>
      </c>
      <c r="F748" s="177">
        <v>410</v>
      </c>
      <c r="G748" s="31">
        <v>172</v>
      </c>
      <c r="H748" s="50">
        <f t="shared" si="35"/>
        <v>70520</v>
      </c>
      <c r="I748" s="207">
        <f>ROUND((F748*0.00278),2)</f>
        <v>1.1399999999999999</v>
      </c>
      <c r="J748" s="164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F748" s="35"/>
      <c r="AG748" s="35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</row>
    <row r="749" spans="1:47" s="203" customFormat="1" ht="24">
      <c r="A749" s="58" t="s">
        <v>1252</v>
      </c>
      <c r="B749" s="27" t="s">
        <v>826</v>
      </c>
      <c r="C749" s="27"/>
      <c r="D749" s="175" t="s">
        <v>827</v>
      </c>
      <c r="E749" s="160" t="s">
        <v>91</v>
      </c>
      <c r="F749" s="177">
        <v>57</v>
      </c>
      <c r="G749" s="31">
        <v>195</v>
      </c>
      <c r="H749" s="50">
        <f t="shared" si="35"/>
        <v>11115</v>
      </c>
      <c r="I749" s="207">
        <f>ROUND((F749*0.00432),2)</f>
        <v>0.25</v>
      </c>
      <c r="J749" s="164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F749" s="35"/>
      <c r="AG749" s="35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</row>
    <row r="750" spans="1:47" s="203" customFormat="1" ht="24">
      <c r="A750" s="58" t="s">
        <v>1253</v>
      </c>
      <c r="B750" s="27" t="s">
        <v>826</v>
      </c>
      <c r="C750" s="27"/>
      <c r="D750" s="175" t="s">
        <v>834</v>
      </c>
      <c r="E750" s="160" t="s">
        <v>91</v>
      </c>
      <c r="F750" s="177">
        <v>91</v>
      </c>
      <c r="G750" s="31">
        <v>195</v>
      </c>
      <c r="H750" s="50">
        <f t="shared" si="35"/>
        <v>17745</v>
      </c>
      <c r="I750" s="207">
        <f>ROUND((F750*0.00432),2)</f>
        <v>0.39</v>
      </c>
      <c r="J750" s="164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F750" s="35"/>
      <c r="AG750" s="35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</row>
    <row r="751" spans="1:47" s="203" customFormat="1" ht="24">
      <c r="A751" s="58" t="s">
        <v>1254</v>
      </c>
      <c r="B751" s="27" t="s">
        <v>1126</v>
      </c>
      <c r="C751" s="27"/>
      <c r="D751" s="175" t="s">
        <v>836</v>
      </c>
      <c r="E751" s="160" t="s">
        <v>91</v>
      </c>
      <c r="F751" s="177">
        <v>2</v>
      </c>
      <c r="G751" s="31">
        <v>172</v>
      </c>
      <c r="H751" s="50">
        <f t="shared" si="35"/>
        <v>344</v>
      </c>
      <c r="I751" s="207">
        <f>ROUND((F751*0.0238),2)</f>
        <v>0.05</v>
      </c>
      <c r="J751" s="164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F751" s="35"/>
      <c r="AG751" s="35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</row>
    <row r="752" spans="1:47" s="203" customFormat="1" ht="24">
      <c r="A752" s="58" t="s">
        <v>1255</v>
      </c>
      <c r="B752" s="27" t="s">
        <v>1126</v>
      </c>
      <c r="C752" s="27"/>
      <c r="D752" s="175" t="s">
        <v>838</v>
      </c>
      <c r="E752" s="160" t="s">
        <v>91</v>
      </c>
      <c r="F752" s="177">
        <v>2</v>
      </c>
      <c r="G752" s="31">
        <v>172</v>
      </c>
      <c r="H752" s="50">
        <f t="shared" si="35"/>
        <v>344</v>
      </c>
      <c r="I752" s="207">
        <f>ROUND((F752*0.0238),2)</f>
        <v>0.05</v>
      </c>
      <c r="J752" s="164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F752" s="35"/>
      <c r="AG752" s="35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</row>
    <row r="753" spans="1:47" s="203" customFormat="1" ht="12">
      <c r="A753" s="58" t="s">
        <v>1256</v>
      </c>
      <c r="B753" s="27" t="s">
        <v>1154</v>
      </c>
      <c r="C753" s="27"/>
      <c r="D753" s="175" t="s">
        <v>1343</v>
      </c>
      <c r="E753" s="160" t="s">
        <v>6</v>
      </c>
      <c r="F753" s="177">
        <v>3.0000000000000001E-3</v>
      </c>
      <c r="G753" s="31">
        <f>SUM(H746:H752)</f>
        <v>170588</v>
      </c>
      <c r="H753" s="50">
        <f t="shared" si="35"/>
        <v>511.76</v>
      </c>
      <c r="I753" s="50"/>
      <c r="J753" s="164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F753" s="35"/>
      <c r="AG753" s="35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</row>
    <row r="754" spans="1:47" s="203" customFormat="1" ht="12">
      <c r="A754" s="58" t="s">
        <v>1257</v>
      </c>
      <c r="B754" s="27"/>
      <c r="C754" s="27"/>
      <c r="D754" s="175"/>
      <c r="E754" s="160"/>
      <c r="F754" s="177"/>
      <c r="G754" s="31"/>
      <c r="H754" s="50"/>
      <c r="I754" s="50"/>
      <c r="J754" s="164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F754" s="35"/>
      <c r="AG754" s="35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</row>
    <row r="755" spans="1:47" s="122" customFormat="1" ht="13.8">
      <c r="A755" s="58" t="s">
        <v>1258</v>
      </c>
      <c r="B755" s="44"/>
      <c r="C755" s="45"/>
      <c r="D755" s="85"/>
      <c r="E755" s="155"/>
      <c r="F755" s="48"/>
      <c r="G755" s="49"/>
      <c r="H755" s="50"/>
      <c r="J755" s="34"/>
      <c r="AQ755" s="123"/>
    </row>
    <row r="756" spans="1:47" s="203" customFormat="1" ht="13.95" customHeight="1">
      <c r="A756" s="58" t="s">
        <v>1259</v>
      </c>
      <c r="B756" s="160"/>
      <c r="C756" s="28"/>
      <c r="D756" s="28" t="s">
        <v>852</v>
      </c>
      <c r="E756" s="208"/>
      <c r="F756" s="38"/>
      <c r="G756" s="31"/>
      <c r="H756" s="50"/>
      <c r="J756" s="209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F756" s="35"/>
      <c r="AG756" s="35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</row>
    <row r="757" spans="1:47" s="122" customFormat="1" ht="24.6">
      <c r="A757" s="58" t="s">
        <v>1260</v>
      </c>
      <c r="B757" s="210"/>
      <c r="C757" s="45"/>
      <c r="D757" s="175" t="s">
        <v>854</v>
      </c>
      <c r="E757" s="155"/>
      <c r="F757" s="49"/>
      <c r="G757" s="49"/>
      <c r="H757" s="50"/>
      <c r="J757" s="34"/>
      <c r="AQ757" s="123"/>
    </row>
    <row r="758" spans="1:47" s="122" customFormat="1" ht="30.6">
      <c r="A758" s="58" t="s">
        <v>1261</v>
      </c>
      <c r="B758" s="210" t="s">
        <v>857</v>
      </c>
      <c r="C758" s="45" t="s">
        <v>858</v>
      </c>
      <c r="D758" s="86" t="s">
        <v>859</v>
      </c>
      <c r="E758" s="155" t="s">
        <v>41</v>
      </c>
      <c r="F758" s="49">
        <v>6</v>
      </c>
      <c r="G758" s="49">
        <v>463</v>
      </c>
      <c r="H758" s="50">
        <f t="shared" si="35"/>
        <v>2778</v>
      </c>
      <c r="J758" s="34"/>
      <c r="AQ758" s="123"/>
    </row>
    <row r="759" spans="1:47" s="122" customFormat="1" ht="24">
      <c r="A759" s="58" t="s">
        <v>1262</v>
      </c>
      <c r="B759" s="44" t="s">
        <v>861</v>
      </c>
      <c r="D759" s="115" t="s">
        <v>862</v>
      </c>
      <c r="E759" s="155" t="s">
        <v>41</v>
      </c>
      <c r="F759" s="49">
        <v>6</v>
      </c>
      <c r="G759" s="49">
        <v>741</v>
      </c>
      <c r="H759" s="50">
        <f t="shared" si="35"/>
        <v>4446</v>
      </c>
      <c r="J759" s="34"/>
      <c r="AQ759" s="123"/>
    </row>
    <row r="760" spans="1:47" s="122" customFormat="1" ht="24">
      <c r="A760" s="58" t="s">
        <v>1263</v>
      </c>
      <c r="B760" s="44">
        <v>998713203</v>
      </c>
      <c r="D760" s="86" t="s">
        <v>865</v>
      </c>
      <c r="E760" s="155" t="s">
        <v>6</v>
      </c>
      <c r="F760" s="49">
        <f>SUM(H758:H759)</f>
        <v>7224</v>
      </c>
      <c r="G760" s="49">
        <v>2.1999999999999999E-2</v>
      </c>
      <c r="H760" s="50">
        <f t="shared" si="35"/>
        <v>158.93</v>
      </c>
      <c r="J760" s="142"/>
      <c r="AQ760" s="123"/>
    </row>
    <row r="761" spans="1:47" s="122" customFormat="1" ht="13.8">
      <c r="A761" s="58" t="s">
        <v>1264</v>
      </c>
      <c r="B761" s="44"/>
      <c r="C761" s="45"/>
      <c r="D761" s="85"/>
      <c r="E761" s="155"/>
      <c r="F761" s="48"/>
      <c r="G761" s="49"/>
      <c r="H761" s="89"/>
      <c r="J761" s="34"/>
      <c r="AQ761" s="123"/>
    </row>
    <row r="762" spans="1:47" s="203" customFormat="1" ht="12">
      <c r="A762" s="58" t="s">
        <v>1265</v>
      </c>
      <c r="B762" s="27"/>
      <c r="C762" s="27"/>
      <c r="D762" s="35"/>
      <c r="E762" s="158"/>
      <c r="F762" s="177"/>
      <c r="G762" s="21"/>
      <c r="H762" s="20"/>
      <c r="J762" s="164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F762" s="35"/>
      <c r="AG762" s="35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</row>
    <row r="763" spans="1:47" s="203" customFormat="1" ht="13.8">
      <c r="A763" s="58" t="s">
        <v>1266</v>
      </c>
      <c r="B763" s="26" t="s">
        <v>869</v>
      </c>
      <c r="C763" s="27"/>
      <c r="D763" s="157" t="s">
        <v>9</v>
      </c>
      <c r="E763" s="158" t="s">
        <v>6</v>
      </c>
      <c r="F763" s="211" t="s">
        <v>38</v>
      </c>
      <c r="G763" s="21"/>
      <c r="H763" s="20">
        <f>H765+H774+H781</f>
        <v>14750.98</v>
      </c>
      <c r="J763" s="164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F763" s="35"/>
      <c r="AG763" s="35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</row>
    <row r="764" spans="1:47" s="203" customFormat="1" ht="12">
      <c r="A764" s="58" t="s">
        <v>1267</v>
      </c>
      <c r="B764" s="26"/>
      <c r="C764" s="27"/>
      <c r="D764" s="28"/>
      <c r="E764" s="158"/>
      <c r="F764" s="159"/>
      <c r="G764" s="21"/>
      <c r="H764" s="20"/>
      <c r="J764" s="164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F764" s="35"/>
      <c r="AG764" s="35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</row>
    <row r="765" spans="1:47" s="203" customFormat="1" ht="12">
      <c r="A765" s="58" t="s">
        <v>1268</v>
      </c>
      <c r="B765" s="212"/>
      <c r="C765" s="213"/>
      <c r="D765" s="214" t="s">
        <v>872</v>
      </c>
      <c r="E765" s="215" t="s">
        <v>6</v>
      </c>
      <c r="F765" s="216" t="s">
        <v>213</v>
      </c>
      <c r="G765" s="217"/>
      <c r="H765" s="218">
        <f>SUM(H767:H772)</f>
        <v>6167.6</v>
      </c>
      <c r="J765" s="219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F765" s="35"/>
      <c r="AG765" s="35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</row>
    <row r="766" spans="1:47" s="203" customFormat="1" ht="12">
      <c r="A766" s="58" t="s">
        <v>1269</v>
      </c>
      <c r="B766" s="212"/>
      <c r="C766" s="213"/>
      <c r="D766" s="220" t="s">
        <v>874</v>
      </c>
      <c r="E766" s="221"/>
      <c r="F766" s="222"/>
      <c r="G766" s="223"/>
      <c r="H766" s="224"/>
      <c r="J766" s="219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F766" s="35"/>
      <c r="AG766" s="35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</row>
    <row r="767" spans="1:47" s="203" customFormat="1" ht="12">
      <c r="A767" s="58" t="s">
        <v>1270</v>
      </c>
      <c r="B767" s="212" t="s">
        <v>1344</v>
      </c>
      <c r="C767" s="213"/>
      <c r="D767" s="225" t="s">
        <v>876</v>
      </c>
      <c r="E767" s="221" t="s">
        <v>168</v>
      </c>
      <c r="F767" s="222">
        <v>4</v>
      </c>
      <c r="G767" s="223">
        <v>1350</v>
      </c>
      <c r="H767" s="50">
        <f t="shared" ref="H767" si="36">ROUND((F767*G767),2)</f>
        <v>5400</v>
      </c>
      <c r="J767" s="219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F767" s="35"/>
      <c r="AG767" s="35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</row>
    <row r="768" spans="1:47" s="203" customFormat="1" ht="12">
      <c r="A768" s="58" t="s">
        <v>1271</v>
      </c>
      <c r="B768" s="212"/>
      <c r="C768" s="213"/>
      <c r="D768" s="225" t="s">
        <v>878</v>
      </c>
      <c r="E768" s="221"/>
      <c r="F768" s="222"/>
      <c r="G768" s="223"/>
      <c r="H768" s="224"/>
      <c r="J768" s="219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F768" s="35"/>
      <c r="AG768" s="35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</row>
    <row r="769" spans="1:47" s="203" customFormat="1" ht="12">
      <c r="A769" s="58" t="s">
        <v>1272</v>
      </c>
      <c r="B769" s="212" t="s">
        <v>1345</v>
      </c>
      <c r="C769" s="213"/>
      <c r="D769" s="225" t="s">
        <v>1346</v>
      </c>
      <c r="E769" s="221" t="s">
        <v>168</v>
      </c>
      <c r="F769" s="222">
        <v>4</v>
      </c>
      <c r="G769" s="223">
        <v>39.4</v>
      </c>
      <c r="H769" s="50">
        <f t="shared" ref="H769:H770" si="37">ROUND((F769*G769),2)</f>
        <v>157.6</v>
      </c>
      <c r="J769" s="219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F769" s="35"/>
      <c r="AG769" s="35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</row>
    <row r="770" spans="1:47" s="203" customFormat="1" ht="12">
      <c r="A770" s="58" t="s">
        <v>1273</v>
      </c>
      <c r="B770" s="212" t="s">
        <v>881</v>
      </c>
      <c r="C770" s="213"/>
      <c r="D770" s="225" t="s">
        <v>882</v>
      </c>
      <c r="E770" s="221" t="s">
        <v>168</v>
      </c>
      <c r="F770" s="222">
        <v>4</v>
      </c>
      <c r="G770" s="223">
        <v>35.5</v>
      </c>
      <c r="H770" s="50">
        <f t="shared" si="37"/>
        <v>142</v>
      </c>
      <c r="J770" s="219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F770" s="35"/>
      <c r="AG770" s="35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</row>
    <row r="771" spans="1:47" s="203" customFormat="1" ht="12">
      <c r="A771" s="58" t="s">
        <v>1274</v>
      </c>
      <c r="B771" s="212" t="s">
        <v>884</v>
      </c>
      <c r="C771" s="213"/>
      <c r="D771" s="220" t="s">
        <v>885</v>
      </c>
      <c r="E771" s="221"/>
      <c r="F771" s="222"/>
      <c r="G771" s="223"/>
      <c r="H771" s="224"/>
      <c r="J771" s="219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F771" s="35"/>
      <c r="AG771" s="35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</row>
    <row r="772" spans="1:47" s="203" customFormat="1" ht="24">
      <c r="A772" s="58" t="s">
        <v>1275</v>
      </c>
      <c r="B772" s="212" t="s">
        <v>1347</v>
      </c>
      <c r="C772" s="213"/>
      <c r="D772" s="225" t="s">
        <v>1348</v>
      </c>
      <c r="E772" s="221" t="s">
        <v>168</v>
      </c>
      <c r="F772" s="222">
        <v>4</v>
      </c>
      <c r="G772" s="223">
        <v>117</v>
      </c>
      <c r="H772" s="114">
        <f t="shared" ref="H772" si="38">ROUND((F772*G772),2)</f>
        <v>468</v>
      </c>
      <c r="J772" s="219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F772" s="35"/>
      <c r="AG772" s="35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</row>
    <row r="773" spans="1:47" s="203" customFormat="1" ht="12">
      <c r="A773" s="58" t="s">
        <v>1276</v>
      </c>
      <c r="B773" s="27"/>
      <c r="C773" s="27"/>
      <c r="D773" s="173"/>
      <c r="E773" s="158"/>
      <c r="F773" s="57"/>
      <c r="G773" s="21"/>
      <c r="H773" s="20"/>
      <c r="J773" s="164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F773" s="35"/>
      <c r="AG773" s="35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</row>
    <row r="774" spans="1:47" s="203" customFormat="1" ht="12">
      <c r="A774" s="58" t="s">
        <v>1277</v>
      </c>
      <c r="B774" s="212"/>
      <c r="C774" s="213"/>
      <c r="D774" s="214" t="s">
        <v>889</v>
      </c>
      <c r="E774" s="215" t="s">
        <v>6</v>
      </c>
      <c r="F774" s="216" t="s">
        <v>213</v>
      </c>
      <c r="G774" s="223"/>
      <c r="H774" s="218">
        <f>SUM(H775:H779)</f>
        <v>8420</v>
      </c>
      <c r="J774" s="219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F774" s="35"/>
      <c r="AG774" s="35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</row>
    <row r="775" spans="1:47" s="203" customFormat="1" ht="24">
      <c r="A775" s="58" t="s">
        <v>1278</v>
      </c>
      <c r="B775" s="212" t="s">
        <v>891</v>
      </c>
      <c r="C775" s="213"/>
      <c r="D775" s="225" t="s">
        <v>1157</v>
      </c>
      <c r="E775" s="221" t="s">
        <v>168</v>
      </c>
      <c r="F775" s="222">
        <v>10</v>
      </c>
      <c r="G775" s="223">
        <v>125</v>
      </c>
      <c r="H775" s="50">
        <f t="shared" ref="H775:H781" si="39">ROUND((F775*G775),2)</f>
        <v>1250</v>
      </c>
      <c r="J775" s="219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F775" s="35"/>
      <c r="AG775" s="35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</row>
    <row r="776" spans="1:47" s="203" customFormat="1" ht="12">
      <c r="A776" s="58" t="s">
        <v>1279</v>
      </c>
      <c r="B776" s="212" t="s">
        <v>893</v>
      </c>
      <c r="C776" s="213"/>
      <c r="D776" s="225" t="s">
        <v>894</v>
      </c>
      <c r="E776" s="221" t="s">
        <v>168</v>
      </c>
      <c r="F776" s="222">
        <v>10</v>
      </c>
      <c r="G776" s="223">
        <v>170</v>
      </c>
      <c r="H776" s="50">
        <f t="shared" si="39"/>
        <v>1700</v>
      </c>
      <c r="J776" s="219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F776" s="35"/>
      <c r="AG776" s="35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</row>
    <row r="777" spans="1:47" s="203" customFormat="1" ht="12">
      <c r="A777" s="58" t="s">
        <v>1280</v>
      </c>
      <c r="B777" s="212" t="s">
        <v>896</v>
      </c>
      <c r="C777" s="213"/>
      <c r="D777" s="225" t="s">
        <v>897</v>
      </c>
      <c r="E777" s="221" t="s">
        <v>91</v>
      </c>
      <c r="F777" s="222">
        <v>10</v>
      </c>
      <c r="G777" s="223">
        <v>183</v>
      </c>
      <c r="H777" s="50">
        <f t="shared" si="39"/>
        <v>1830</v>
      </c>
      <c r="J777" s="219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F777" s="35"/>
      <c r="AG777" s="35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</row>
    <row r="778" spans="1:47" s="203" customFormat="1" ht="12">
      <c r="A778" s="58" t="s">
        <v>1281</v>
      </c>
      <c r="B778" s="212"/>
      <c r="C778" s="213"/>
      <c r="D778" s="220" t="s">
        <v>899</v>
      </c>
      <c r="E778" s="226"/>
      <c r="F778" s="227"/>
      <c r="G778" s="228"/>
      <c r="H778" s="50"/>
      <c r="J778" s="229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F778" s="35"/>
      <c r="AG778" s="35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</row>
    <row r="779" spans="1:47" s="203" customFormat="1" ht="12">
      <c r="A779" s="58" t="s">
        <v>1282</v>
      </c>
      <c r="B779" s="212" t="s">
        <v>901</v>
      </c>
      <c r="C779" s="213"/>
      <c r="D779" s="225" t="s">
        <v>902</v>
      </c>
      <c r="E779" s="221" t="s">
        <v>168</v>
      </c>
      <c r="F779" s="222">
        <v>2</v>
      </c>
      <c r="G779" s="223">
        <v>1820</v>
      </c>
      <c r="H779" s="50">
        <f t="shared" si="39"/>
        <v>3640</v>
      </c>
      <c r="J779" s="219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F779" s="35"/>
      <c r="AG779" s="35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</row>
    <row r="780" spans="1:47" s="203" customFormat="1" ht="12">
      <c r="A780" s="58" t="s">
        <v>1283</v>
      </c>
      <c r="B780" s="212"/>
      <c r="C780" s="213"/>
      <c r="D780" s="225"/>
      <c r="E780" s="221"/>
      <c r="F780" s="222"/>
      <c r="G780" s="223"/>
      <c r="H780" s="50"/>
      <c r="J780" s="219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F780" s="35"/>
      <c r="AG780" s="35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</row>
    <row r="781" spans="1:47" s="203" customFormat="1" ht="24">
      <c r="A781" s="58" t="s">
        <v>1284</v>
      </c>
      <c r="B781" s="212">
        <v>998722203</v>
      </c>
      <c r="C781" s="213"/>
      <c r="D781" s="230" t="s">
        <v>957</v>
      </c>
      <c r="E781" s="231" t="s">
        <v>6</v>
      </c>
      <c r="F781" s="232">
        <v>1.12E-2</v>
      </c>
      <c r="G781" s="233">
        <f>H765+H774</f>
        <v>14587.6</v>
      </c>
      <c r="H781" s="234">
        <f t="shared" si="39"/>
        <v>163.38</v>
      </c>
      <c r="J781" s="219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F781" s="35"/>
      <c r="AG781" s="35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</row>
    <row r="782" spans="1:47" s="203" customFormat="1" ht="12">
      <c r="A782" s="58" t="s">
        <v>1285</v>
      </c>
      <c r="B782" s="212"/>
      <c r="C782" s="213"/>
      <c r="D782" s="235" t="s">
        <v>956</v>
      </c>
      <c r="E782" s="231"/>
      <c r="F782" s="222"/>
      <c r="G782" s="236"/>
      <c r="H782" s="237"/>
      <c r="J782" s="219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F782" s="35"/>
      <c r="AG782" s="35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</row>
    <row r="783" spans="1:47" ht="12">
      <c r="A783" s="58" t="s">
        <v>1286</v>
      </c>
      <c r="B783" s="27"/>
      <c r="D783" s="173" t="s">
        <v>906</v>
      </c>
      <c r="E783" s="158" t="s">
        <v>672</v>
      </c>
      <c r="F783" s="211" t="s">
        <v>38</v>
      </c>
      <c r="G783" s="21"/>
      <c r="H783" s="20">
        <f>SUM(H784:H785)</f>
        <v>211952.93</v>
      </c>
      <c r="I783" s="35"/>
    </row>
    <row r="784" spans="1:47" ht="24">
      <c r="A784" s="58" t="s">
        <v>1287</v>
      </c>
      <c r="B784" s="27" t="s">
        <v>1159</v>
      </c>
      <c r="D784" s="238" t="s">
        <v>1328</v>
      </c>
      <c r="E784" s="161" t="s">
        <v>91</v>
      </c>
      <c r="F784" s="159">
        <f>(9*2)</f>
        <v>18</v>
      </c>
      <c r="G784" s="21">
        <v>6800.4960000000001</v>
      </c>
      <c r="H784" s="50">
        <f t="shared" ref="H784:H785" si="40">ROUND((F784*G784),2)</f>
        <v>122408.93</v>
      </c>
      <c r="I784" s="22"/>
      <c r="J784" s="35"/>
      <c r="K784" s="239"/>
    </row>
    <row r="785" spans="1:47" ht="12">
      <c r="A785" s="58" t="s">
        <v>1288</v>
      </c>
      <c r="B785" s="27" t="s">
        <v>910</v>
      </c>
      <c r="D785" s="238" t="s">
        <v>1158</v>
      </c>
      <c r="E785" s="161" t="s">
        <v>88</v>
      </c>
      <c r="F785" s="159">
        <v>156</v>
      </c>
      <c r="G785" s="21">
        <v>574</v>
      </c>
      <c r="H785" s="50">
        <f t="shared" si="40"/>
        <v>89544</v>
      </c>
      <c r="I785" s="35"/>
    </row>
    <row r="786" spans="1:47" s="203" customFormat="1" ht="12">
      <c r="A786" s="58" t="s">
        <v>1289</v>
      </c>
      <c r="B786" s="27"/>
      <c r="C786" s="27"/>
      <c r="D786" s="172"/>
      <c r="E786" s="158"/>
      <c r="F786" s="38"/>
      <c r="G786" s="21"/>
      <c r="H786" s="20"/>
      <c r="J786" s="164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F786" s="35"/>
      <c r="AG786" s="35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</row>
    <row r="787" spans="1:47" s="203" customFormat="1" ht="12">
      <c r="A787" s="58" t="s">
        <v>1290</v>
      </c>
      <c r="B787" s="26"/>
      <c r="C787" s="27"/>
      <c r="D787" s="240" t="s">
        <v>911</v>
      </c>
      <c r="E787" s="28" t="s">
        <v>6</v>
      </c>
      <c r="F787" s="211" t="s">
        <v>38</v>
      </c>
      <c r="G787" s="37"/>
      <c r="H787" s="39">
        <f>SUM(H788:H803)</f>
        <v>311000</v>
      </c>
      <c r="J787" s="164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F787" s="35"/>
      <c r="AG787" s="35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</row>
    <row r="788" spans="1:47" s="203" customFormat="1" ht="12">
      <c r="A788" s="58" t="s">
        <v>1291</v>
      </c>
      <c r="B788" s="26">
        <v>32103000</v>
      </c>
      <c r="C788" s="27"/>
      <c r="D788" s="86" t="s">
        <v>952</v>
      </c>
      <c r="E788" s="40" t="s">
        <v>91</v>
      </c>
      <c r="F788" s="159">
        <v>1</v>
      </c>
      <c r="G788" s="31">
        <v>30000</v>
      </c>
      <c r="H788" s="50">
        <f t="shared" ref="H788:H803" si="41">ROUND((F788*G788),2)</f>
        <v>30000</v>
      </c>
      <c r="J788" s="164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F788" s="35"/>
      <c r="AG788" s="35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</row>
    <row r="789" spans="1:47" s="203" customFormat="1" ht="12">
      <c r="A789" s="58" t="s">
        <v>1292</v>
      </c>
      <c r="B789" s="26"/>
      <c r="C789" s="27"/>
      <c r="D789" s="86" t="s">
        <v>953</v>
      </c>
      <c r="E789" s="241" t="s">
        <v>91</v>
      </c>
      <c r="F789" s="159">
        <v>1</v>
      </c>
      <c r="G789" s="31">
        <v>20000</v>
      </c>
      <c r="H789" s="50">
        <f t="shared" si="41"/>
        <v>20000</v>
      </c>
      <c r="J789" s="164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F789" s="35"/>
      <c r="AG789" s="35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</row>
    <row r="790" spans="1:47" s="203" customFormat="1" ht="12">
      <c r="A790" s="58" t="s">
        <v>1293</v>
      </c>
      <c r="B790" s="26"/>
      <c r="C790" s="27"/>
      <c r="D790" s="35"/>
      <c r="E790" s="242"/>
      <c r="F790" s="177"/>
      <c r="G790" s="31"/>
      <c r="H790" s="32"/>
      <c r="J790" s="164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F790" s="35"/>
      <c r="AG790" s="35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</row>
    <row r="791" spans="1:47" s="203" customFormat="1" ht="12">
      <c r="A791" s="58" t="s">
        <v>1294</v>
      </c>
      <c r="B791" s="26">
        <v>34303000</v>
      </c>
      <c r="C791" s="27"/>
      <c r="D791" s="35" t="s">
        <v>913</v>
      </c>
      <c r="E791" s="40" t="s">
        <v>91</v>
      </c>
      <c r="F791" s="177">
        <v>2</v>
      </c>
      <c r="G791" s="31">
        <v>15000</v>
      </c>
      <c r="H791" s="50">
        <f t="shared" si="41"/>
        <v>30000</v>
      </c>
      <c r="J791" s="164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F791" s="35"/>
      <c r="AG791" s="35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</row>
    <row r="792" spans="1:47" s="203" customFormat="1" ht="24">
      <c r="A792" s="58" t="s">
        <v>1295</v>
      </c>
      <c r="B792" s="26">
        <v>34203000</v>
      </c>
      <c r="C792" s="27"/>
      <c r="D792" s="35" t="s">
        <v>950</v>
      </c>
      <c r="E792" s="40" t="s">
        <v>91</v>
      </c>
      <c r="F792" s="177">
        <v>1</v>
      </c>
      <c r="G792" s="31">
        <v>20000</v>
      </c>
      <c r="H792" s="50">
        <f t="shared" si="41"/>
        <v>20000</v>
      </c>
      <c r="J792" s="164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F792" s="35"/>
      <c r="AG792" s="35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</row>
    <row r="793" spans="1:47" s="203" customFormat="1" ht="12">
      <c r="A793" s="58" t="s">
        <v>1296</v>
      </c>
      <c r="B793" s="26">
        <v>34503000</v>
      </c>
      <c r="C793" s="27"/>
      <c r="D793" s="35" t="s">
        <v>914</v>
      </c>
      <c r="E793" s="40" t="s">
        <v>91</v>
      </c>
      <c r="F793" s="159">
        <v>2</v>
      </c>
      <c r="G793" s="31">
        <v>5000</v>
      </c>
      <c r="H793" s="50">
        <f t="shared" si="41"/>
        <v>10000</v>
      </c>
      <c r="J793" s="164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F793" s="35"/>
      <c r="AG793" s="35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</row>
    <row r="794" spans="1:47" s="203" customFormat="1" ht="12">
      <c r="A794" s="58" t="s">
        <v>1297</v>
      </c>
      <c r="B794" s="26">
        <v>39203000</v>
      </c>
      <c r="C794" s="27"/>
      <c r="D794" s="86" t="s">
        <v>951</v>
      </c>
      <c r="E794" s="242" t="s">
        <v>912</v>
      </c>
      <c r="F794" s="159">
        <v>1</v>
      </c>
      <c r="G794" s="31">
        <v>10000</v>
      </c>
      <c r="H794" s="50">
        <f t="shared" si="41"/>
        <v>10000</v>
      </c>
      <c r="J794" s="164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F794" s="35"/>
      <c r="AG794" s="35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</row>
    <row r="795" spans="1:47" s="203" customFormat="1" ht="12">
      <c r="A795" s="58" t="s">
        <v>1298</v>
      </c>
      <c r="B795" s="26"/>
      <c r="C795" s="27"/>
      <c r="D795" s="40" t="s">
        <v>1354</v>
      </c>
      <c r="E795" s="242"/>
      <c r="F795" s="177"/>
      <c r="G795" s="31"/>
      <c r="H795" s="32"/>
      <c r="J795" s="164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F795" s="35"/>
      <c r="AG795" s="35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</row>
    <row r="796" spans="1:47" s="203" customFormat="1" ht="12">
      <c r="A796" s="58" t="s">
        <v>1299</v>
      </c>
      <c r="B796" s="27" t="s">
        <v>1350</v>
      </c>
      <c r="C796" s="27"/>
      <c r="D796" s="35" t="s">
        <v>954</v>
      </c>
      <c r="E796" s="242" t="s">
        <v>912</v>
      </c>
      <c r="F796" s="177">
        <v>1</v>
      </c>
      <c r="G796" s="31">
        <v>12000</v>
      </c>
      <c r="H796" s="50">
        <f t="shared" si="41"/>
        <v>12000</v>
      </c>
      <c r="J796" s="164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F796" s="35"/>
      <c r="AG796" s="35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</row>
    <row r="797" spans="1:47" s="203" customFormat="1" ht="12">
      <c r="A797" s="58" t="s">
        <v>1300</v>
      </c>
      <c r="B797" s="26">
        <v>13254000</v>
      </c>
      <c r="C797" s="27"/>
      <c r="D797" s="35" t="s">
        <v>1152</v>
      </c>
      <c r="E797" s="242" t="s">
        <v>912</v>
      </c>
      <c r="F797" s="177">
        <v>1</v>
      </c>
      <c r="G797" s="31">
        <v>10000</v>
      </c>
      <c r="H797" s="50">
        <f t="shared" si="41"/>
        <v>10000</v>
      </c>
      <c r="J797" s="164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F797" s="35"/>
      <c r="AG797" s="35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</row>
    <row r="798" spans="1:47" s="203" customFormat="1" ht="12">
      <c r="A798" s="58" t="s">
        <v>1301</v>
      </c>
      <c r="B798" s="27" t="s">
        <v>1349</v>
      </c>
      <c r="C798" s="27"/>
      <c r="D798" s="35" t="s">
        <v>1155</v>
      </c>
      <c r="E798" s="242" t="s">
        <v>912</v>
      </c>
      <c r="F798" s="177">
        <v>1</v>
      </c>
      <c r="G798" s="31">
        <f>10*300*28</f>
        <v>84000</v>
      </c>
      <c r="H798" s="50">
        <f t="shared" si="41"/>
        <v>84000</v>
      </c>
      <c r="J798" s="164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F798" s="35"/>
      <c r="AG798" s="35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</row>
    <row r="799" spans="1:47" s="203" customFormat="1" ht="12">
      <c r="A799" s="58" t="s">
        <v>1302</v>
      </c>
      <c r="B799" s="27" t="s">
        <v>1351</v>
      </c>
      <c r="C799" s="27"/>
      <c r="D799" s="35" t="s">
        <v>955</v>
      </c>
      <c r="E799" s="242" t="s">
        <v>912</v>
      </c>
      <c r="F799" s="159">
        <v>1</v>
      </c>
      <c r="G799" s="31">
        <v>50000</v>
      </c>
      <c r="H799" s="50">
        <f t="shared" si="41"/>
        <v>50000</v>
      </c>
      <c r="J799" s="164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F799" s="35"/>
      <c r="AG799" s="35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</row>
    <row r="800" spans="1:47" ht="60.6">
      <c r="A800" s="58" t="s">
        <v>1303</v>
      </c>
      <c r="B800" s="44">
        <v>91003000</v>
      </c>
      <c r="C800" s="45"/>
      <c r="D800" s="160" t="s">
        <v>1359</v>
      </c>
      <c r="E800" s="47" t="s">
        <v>912</v>
      </c>
      <c r="F800" s="48">
        <v>1</v>
      </c>
      <c r="G800" s="49">
        <v>25000</v>
      </c>
      <c r="H800" s="50">
        <f t="shared" si="41"/>
        <v>25000</v>
      </c>
      <c r="AQ800" s="36"/>
    </row>
    <row r="801" spans="1:43" ht="63.6" customHeight="1">
      <c r="A801" s="58" t="s">
        <v>1304</v>
      </c>
      <c r="B801" s="44">
        <v>91003000</v>
      </c>
      <c r="C801" s="45"/>
      <c r="D801" s="90" t="s">
        <v>1352</v>
      </c>
      <c r="E801" s="47" t="s">
        <v>912</v>
      </c>
      <c r="F801" s="48">
        <v>1</v>
      </c>
      <c r="G801" s="49">
        <f>10000-1775.76</f>
        <v>8224.24</v>
      </c>
      <c r="H801" s="50">
        <f t="shared" si="41"/>
        <v>8224.24</v>
      </c>
      <c r="AQ801" s="36"/>
    </row>
    <row r="802" spans="1:43" ht="31.8" customHeight="1">
      <c r="A802" s="58" t="s">
        <v>1305</v>
      </c>
      <c r="B802" s="44">
        <v>997013501</v>
      </c>
      <c r="C802" s="45"/>
      <c r="D802" s="115" t="s">
        <v>1358</v>
      </c>
      <c r="E802" s="47" t="s">
        <v>117</v>
      </c>
      <c r="F802" s="48">
        <v>3.02</v>
      </c>
      <c r="G802" s="49">
        <v>314</v>
      </c>
      <c r="H802" s="50">
        <f t="shared" si="41"/>
        <v>948.28</v>
      </c>
      <c r="AQ802" s="36"/>
    </row>
    <row r="803" spans="1:43" ht="42.6" customHeight="1">
      <c r="A803" s="58" t="s">
        <v>1306</v>
      </c>
      <c r="B803" s="44">
        <v>997013509</v>
      </c>
      <c r="C803" s="45"/>
      <c r="D803" s="90" t="s">
        <v>1360</v>
      </c>
      <c r="E803" s="47" t="s">
        <v>117</v>
      </c>
      <c r="F803" s="48">
        <f>(3.02*20)</f>
        <v>60.4</v>
      </c>
      <c r="G803" s="49">
        <v>13.7</v>
      </c>
      <c r="H803" s="50">
        <f t="shared" si="41"/>
        <v>827.48</v>
      </c>
      <c r="AQ803" s="36"/>
    </row>
    <row r="804" spans="1:43" ht="13.95" customHeight="1">
      <c r="A804" s="58"/>
      <c r="B804" s="44"/>
      <c r="C804" s="45"/>
      <c r="D804" s="137"/>
      <c r="E804" s="87"/>
      <c r="F804" s="48"/>
      <c r="G804" s="49"/>
      <c r="H804" s="50"/>
      <c r="AQ804" s="36"/>
    </row>
    <row r="805" spans="1:43" ht="13.95" customHeight="1">
      <c r="A805" s="58"/>
      <c r="B805" s="44"/>
      <c r="C805" s="45"/>
      <c r="D805" s="137"/>
      <c r="E805" s="87"/>
      <c r="F805" s="48"/>
      <c r="G805" s="49"/>
      <c r="H805" s="50"/>
      <c r="AQ805" s="36"/>
    </row>
    <row r="806" spans="1:43" ht="13.95" customHeight="1">
      <c r="A806" s="58"/>
      <c r="B806" s="44"/>
      <c r="C806" s="45"/>
      <c r="D806" s="137"/>
      <c r="E806" s="87"/>
      <c r="F806" s="48"/>
      <c r="G806" s="49"/>
      <c r="H806" s="50"/>
      <c r="AQ806" s="36"/>
    </row>
    <row r="807" spans="1:43">
      <c r="A807" s="58"/>
      <c r="B807" s="44"/>
      <c r="C807" s="45"/>
      <c r="D807" s="137"/>
      <c r="E807" s="87"/>
      <c r="F807" s="48"/>
      <c r="G807" s="49"/>
      <c r="H807" s="50"/>
      <c r="AQ807" s="36"/>
    </row>
    <row r="808" spans="1:43">
      <c r="A808" s="58"/>
      <c r="B808" s="44"/>
      <c r="C808" s="45"/>
      <c r="D808" s="137"/>
      <c r="E808" s="87"/>
      <c r="F808" s="88"/>
      <c r="G808" s="97"/>
      <c r="H808" s="89"/>
      <c r="AQ808" s="36"/>
    </row>
    <row r="809" spans="1:43">
      <c r="A809" s="58"/>
      <c r="B809" s="44"/>
      <c r="C809" s="45"/>
      <c r="D809" s="137"/>
      <c r="E809" s="87"/>
      <c r="F809" s="88"/>
      <c r="G809" s="97"/>
      <c r="H809" s="89"/>
      <c r="AQ809" s="36"/>
    </row>
    <row r="810" spans="1:43">
      <c r="A810" s="58"/>
      <c r="B810" s="44"/>
      <c r="C810" s="45"/>
      <c r="D810" s="137"/>
      <c r="E810" s="87"/>
      <c r="F810" s="88"/>
      <c r="G810" s="97"/>
      <c r="H810" s="89"/>
      <c r="AQ810" s="36"/>
    </row>
    <row r="811" spans="1:43">
      <c r="A811" s="58"/>
      <c r="B811" s="44"/>
      <c r="C811" s="45"/>
      <c r="D811" s="137"/>
      <c r="E811" s="87"/>
      <c r="F811" s="88"/>
      <c r="G811" s="97"/>
      <c r="H811" s="89"/>
      <c r="AQ811" s="36"/>
    </row>
    <row r="812" spans="1:43">
      <c r="A812" s="58"/>
      <c r="B812" s="44"/>
      <c r="C812" s="45"/>
      <c r="D812" s="137"/>
      <c r="E812" s="87"/>
      <c r="F812" s="88"/>
      <c r="G812" s="97"/>
      <c r="H812" s="89"/>
      <c r="AQ812" s="36"/>
    </row>
    <row r="813" spans="1:43">
      <c r="A813" s="58"/>
      <c r="B813" s="44"/>
      <c r="C813" s="45"/>
      <c r="D813" s="137"/>
      <c r="E813" s="87"/>
      <c r="F813" s="88"/>
      <c r="G813" s="97"/>
      <c r="H813" s="89"/>
      <c r="AQ813" s="36"/>
    </row>
    <row r="814" spans="1:43">
      <c r="A814" s="58"/>
      <c r="B814" s="44"/>
      <c r="C814" s="45"/>
      <c r="D814" s="137"/>
      <c r="E814" s="87"/>
      <c r="F814" s="88"/>
      <c r="G814" s="97"/>
      <c r="H814" s="89"/>
      <c r="AQ814" s="36"/>
    </row>
    <row r="815" spans="1:43">
      <c r="A815" s="58"/>
      <c r="B815" s="44"/>
      <c r="C815" s="45"/>
      <c r="D815" s="137"/>
      <c r="E815" s="87"/>
      <c r="F815" s="88"/>
      <c r="G815" s="97"/>
      <c r="H815" s="89"/>
      <c r="AQ815" s="36"/>
    </row>
    <row r="816" spans="1:43">
      <c r="A816" s="58"/>
      <c r="B816" s="44"/>
      <c r="C816" s="45"/>
      <c r="D816" s="137"/>
      <c r="E816" s="87"/>
      <c r="F816" s="88"/>
      <c r="G816" s="97"/>
      <c r="H816" s="89"/>
      <c r="AQ816" s="36"/>
    </row>
    <row r="817" spans="1:45">
      <c r="A817" s="58"/>
      <c r="B817" s="44"/>
      <c r="C817" s="45"/>
      <c r="D817" s="137"/>
      <c r="E817" s="87"/>
      <c r="F817" s="88"/>
      <c r="G817" s="97"/>
      <c r="H817" s="89"/>
      <c r="AQ817" s="36"/>
    </row>
    <row r="818" spans="1:45">
      <c r="A818" s="58"/>
      <c r="B818" s="44"/>
      <c r="C818" s="45"/>
      <c r="D818" s="137"/>
      <c r="E818" s="87"/>
      <c r="F818" s="88"/>
      <c r="G818" s="97"/>
      <c r="H818" s="89"/>
      <c r="AQ818" s="36"/>
    </row>
    <row r="819" spans="1:45">
      <c r="A819" s="58"/>
      <c r="B819" s="44"/>
      <c r="C819" s="45"/>
      <c r="D819" s="137"/>
      <c r="E819" s="87"/>
      <c r="F819" s="88"/>
      <c r="G819" s="97"/>
      <c r="H819" s="89"/>
      <c r="AQ819" s="36"/>
    </row>
    <row r="820" spans="1:45">
      <c r="A820" s="58"/>
      <c r="B820" s="44"/>
      <c r="C820" s="45"/>
      <c r="D820" s="137"/>
      <c r="E820" s="87"/>
      <c r="F820" s="88"/>
      <c r="G820" s="97"/>
      <c r="H820" s="89"/>
      <c r="AQ820" s="36"/>
    </row>
    <row r="821" spans="1:45">
      <c r="A821" s="58"/>
      <c r="B821" s="44"/>
      <c r="C821" s="45"/>
      <c r="D821" s="137"/>
      <c r="E821" s="87"/>
      <c r="F821" s="88"/>
      <c r="G821" s="97"/>
      <c r="H821" s="89"/>
      <c r="AQ821" s="36"/>
    </row>
    <row r="822" spans="1:45">
      <c r="A822" s="58"/>
      <c r="B822" s="44"/>
      <c r="C822" s="45"/>
      <c r="D822" s="137"/>
      <c r="E822" s="87"/>
      <c r="F822" s="88"/>
      <c r="G822" s="97"/>
      <c r="H822" s="89"/>
      <c r="AQ822" s="36"/>
    </row>
    <row r="823" spans="1:45">
      <c r="A823" s="58"/>
      <c r="B823" s="44"/>
      <c r="C823" s="45"/>
      <c r="D823" s="137"/>
      <c r="E823" s="87"/>
      <c r="F823" s="88"/>
      <c r="G823" s="97"/>
      <c r="H823" s="89"/>
      <c r="AQ823" s="36"/>
    </row>
    <row r="824" spans="1:45">
      <c r="A824" s="58"/>
      <c r="B824" s="44"/>
      <c r="C824" s="45"/>
      <c r="D824" s="137"/>
      <c r="E824" s="87"/>
      <c r="F824" s="88"/>
      <c r="G824" s="97"/>
      <c r="H824" s="89"/>
      <c r="AQ824" s="36"/>
    </row>
    <row r="825" spans="1:45">
      <c r="A825" s="58"/>
      <c r="B825" s="44"/>
      <c r="C825" s="45"/>
      <c r="D825" s="137"/>
      <c r="E825" s="87"/>
      <c r="F825" s="88"/>
      <c r="G825" s="97"/>
      <c r="H825" s="89"/>
      <c r="AQ825" s="36"/>
    </row>
    <row r="826" spans="1:45">
      <c r="A826" s="58"/>
      <c r="B826" s="44"/>
      <c r="C826" s="45"/>
      <c r="D826" s="137"/>
      <c r="E826" s="87"/>
      <c r="F826" s="88"/>
      <c r="G826" s="97"/>
      <c r="H826" s="89"/>
      <c r="AQ826" s="36"/>
    </row>
    <row r="827" spans="1:45" s="203" customFormat="1" ht="13.95" customHeight="1">
      <c r="A827" s="243"/>
      <c r="B827" s="160"/>
      <c r="C827" s="28"/>
      <c r="D827" s="244"/>
      <c r="E827" s="208"/>
      <c r="F827" s="177"/>
      <c r="G827" s="31"/>
      <c r="H827" s="71"/>
      <c r="J827" s="209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F827" s="35"/>
      <c r="AG827" s="35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</row>
    <row r="828" spans="1:45" s="203" customFormat="1" ht="13.95" customHeight="1">
      <c r="A828" s="243"/>
      <c r="B828" s="160"/>
      <c r="C828" s="175"/>
      <c r="D828" s="245"/>
      <c r="E828" s="246"/>
      <c r="F828" s="23"/>
      <c r="G828" s="24"/>
      <c r="H828" s="71"/>
      <c r="J828" s="209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F828" s="35"/>
      <c r="AG828" s="35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</row>
    <row r="829" spans="1:45" s="203" customFormat="1" ht="13.95" customHeight="1">
      <c r="A829" s="243"/>
      <c r="B829" s="160"/>
      <c r="C829" s="86"/>
      <c r="D829" s="247"/>
      <c r="E829" s="248"/>
      <c r="F829" s="249"/>
      <c r="G829" s="31"/>
      <c r="H829" s="71"/>
      <c r="J829" s="209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F829" s="35"/>
      <c r="AG829" s="35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</row>
    <row r="830" spans="1:45" s="203" customFormat="1" ht="13.95" customHeight="1">
      <c r="A830" s="243"/>
      <c r="B830" s="160"/>
      <c r="C830" s="173"/>
      <c r="D830" s="247"/>
      <c r="E830" s="208"/>
      <c r="F830" s="30"/>
      <c r="G830" s="31"/>
      <c r="H830" s="71"/>
      <c r="J830" s="209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F830" s="35"/>
      <c r="AG830" s="35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</row>
    <row r="831" spans="1:45" s="203" customFormat="1" ht="13.95" customHeight="1">
      <c r="A831" s="243"/>
      <c r="B831" s="160"/>
      <c r="C831" s="35"/>
      <c r="D831" s="245"/>
      <c r="E831" s="250"/>
      <c r="F831" s="23"/>
      <c r="G831" s="24"/>
      <c r="H831" s="71"/>
      <c r="J831" s="209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F831" s="35"/>
      <c r="AG831" s="35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</row>
    <row r="832" spans="1:45">
      <c r="A832" s="58"/>
      <c r="B832" s="44"/>
      <c r="C832" s="45"/>
      <c r="D832" s="137"/>
      <c r="E832" s="87"/>
      <c r="F832" s="88"/>
      <c r="G832" s="97"/>
      <c r="H832" s="89"/>
      <c r="AQ832" s="36"/>
    </row>
    <row r="833" spans="1:43">
      <c r="A833" s="58"/>
      <c r="B833" s="44"/>
      <c r="C833" s="45"/>
      <c r="D833" s="137"/>
      <c r="E833" s="87"/>
      <c r="F833" s="88"/>
      <c r="G833" s="97"/>
      <c r="H833" s="89"/>
      <c r="AQ833" s="36"/>
    </row>
    <row r="834" spans="1:43">
      <c r="A834" s="58"/>
      <c r="B834" s="44"/>
      <c r="C834" s="45"/>
      <c r="D834" s="137"/>
      <c r="E834" s="87"/>
      <c r="F834" s="88"/>
      <c r="G834" s="97"/>
      <c r="H834" s="89"/>
      <c r="AQ834" s="36"/>
    </row>
    <row r="835" spans="1:43">
      <c r="A835" s="58"/>
      <c r="B835" s="44"/>
      <c r="C835" s="45"/>
      <c r="D835" s="137"/>
      <c r="E835" s="87"/>
      <c r="F835" s="88"/>
      <c r="G835" s="97"/>
      <c r="H835" s="89"/>
      <c r="AQ835" s="36"/>
    </row>
    <row r="836" spans="1:43">
      <c r="A836" s="58"/>
      <c r="B836" s="44"/>
      <c r="C836" s="45"/>
      <c r="D836" s="137"/>
      <c r="E836" s="87"/>
      <c r="F836" s="88"/>
      <c r="G836" s="97"/>
      <c r="H836" s="89"/>
      <c r="AQ836" s="36"/>
    </row>
    <row r="837" spans="1:43">
      <c r="A837" s="58"/>
      <c r="B837" s="44"/>
      <c r="C837" s="45"/>
      <c r="D837" s="137"/>
      <c r="E837" s="87"/>
      <c r="F837" s="88"/>
      <c r="G837" s="97"/>
      <c r="H837" s="89"/>
      <c r="AQ837" s="36"/>
    </row>
    <row r="838" spans="1:43">
      <c r="A838" s="58"/>
      <c r="B838" s="44"/>
      <c r="C838" s="45"/>
      <c r="D838" s="137"/>
      <c r="E838" s="87"/>
      <c r="F838" s="88"/>
      <c r="G838" s="97"/>
      <c r="H838" s="89"/>
      <c r="AQ838" s="36"/>
    </row>
    <row r="839" spans="1:43">
      <c r="A839" s="58"/>
      <c r="B839" s="44"/>
      <c r="C839" s="45"/>
      <c r="D839" s="137"/>
      <c r="E839" s="87"/>
      <c r="F839" s="88"/>
      <c r="G839" s="97"/>
      <c r="H839" s="89"/>
      <c r="AQ839" s="36"/>
    </row>
    <row r="840" spans="1:43">
      <c r="A840" s="58"/>
      <c r="B840" s="44"/>
      <c r="C840" s="45"/>
      <c r="D840" s="137"/>
      <c r="E840" s="87"/>
      <c r="F840" s="88"/>
      <c r="G840" s="97"/>
      <c r="H840" s="89"/>
      <c r="AQ840" s="36"/>
    </row>
    <row r="841" spans="1:43">
      <c r="A841" s="58"/>
      <c r="B841" s="44"/>
      <c r="C841" s="45"/>
      <c r="D841" s="137"/>
      <c r="E841" s="87"/>
      <c r="F841" s="88"/>
      <c r="G841" s="97"/>
      <c r="H841" s="89"/>
      <c r="AQ841" s="36"/>
    </row>
    <row r="842" spans="1:43">
      <c r="A842" s="58"/>
      <c r="B842" s="44"/>
      <c r="C842" s="45"/>
      <c r="D842" s="137"/>
      <c r="E842" s="87"/>
      <c r="F842" s="88"/>
      <c r="G842" s="97"/>
      <c r="H842" s="89"/>
      <c r="AQ842" s="36"/>
    </row>
    <row r="843" spans="1:43">
      <c r="A843" s="58"/>
      <c r="B843" s="44"/>
      <c r="C843" s="45"/>
      <c r="D843" s="137"/>
      <c r="E843" s="87"/>
      <c r="F843" s="88"/>
      <c r="G843" s="97"/>
      <c r="H843" s="89"/>
      <c r="AQ843" s="36"/>
    </row>
    <row r="844" spans="1:43">
      <c r="A844" s="58"/>
      <c r="B844" s="44"/>
      <c r="C844" s="45"/>
      <c r="D844" s="137"/>
      <c r="E844" s="87"/>
      <c r="F844" s="88"/>
      <c r="G844" s="97"/>
      <c r="H844" s="89"/>
      <c r="AQ844" s="36"/>
    </row>
    <row r="845" spans="1:43">
      <c r="A845" s="58"/>
      <c r="B845" s="44"/>
      <c r="C845" s="45"/>
      <c r="D845" s="137"/>
      <c r="E845" s="87"/>
      <c r="F845" s="88"/>
      <c r="G845" s="97"/>
      <c r="H845" s="89"/>
      <c r="AQ845" s="36"/>
    </row>
    <row r="846" spans="1:43">
      <c r="A846" s="58"/>
      <c r="B846" s="44"/>
      <c r="C846" s="45"/>
      <c r="D846" s="137"/>
      <c r="E846" s="87"/>
      <c r="F846" s="88"/>
      <c r="G846" s="97"/>
      <c r="H846" s="89"/>
      <c r="AQ846" s="36"/>
    </row>
    <row r="847" spans="1:43">
      <c r="A847" s="58"/>
      <c r="B847" s="44"/>
      <c r="C847" s="45"/>
      <c r="D847" s="137"/>
      <c r="E847" s="87"/>
      <c r="F847" s="88"/>
      <c r="G847" s="97"/>
      <c r="H847" s="89"/>
      <c r="AQ847" s="36"/>
    </row>
    <row r="848" spans="1:43">
      <c r="A848" s="58"/>
      <c r="B848" s="44"/>
      <c r="C848" s="45"/>
      <c r="D848" s="137"/>
      <c r="E848" s="87"/>
      <c r="F848" s="88"/>
      <c r="G848" s="97"/>
      <c r="H848" s="89"/>
      <c r="AQ848" s="36"/>
    </row>
    <row r="849" spans="1:43">
      <c r="A849" s="58"/>
      <c r="B849" s="44"/>
      <c r="C849" s="45"/>
      <c r="D849" s="137"/>
      <c r="E849" s="87"/>
      <c r="F849" s="88"/>
      <c r="G849" s="97"/>
      <c r="H849" s="89"/>
      <c r="AQ849" s="36"/>
    </row>
    <row r="850" spans="1:43">
      <c r="A850" s="58"/>
      <c r="B850" s="44"/>
      <c r="C850" s="45"/>
      <c r="D850" s="137"/>
      <c r="E850" s="87"/>
      <c r="F850" s="88"/>
      <c r="G850" s="97"/>
      <c r="H850" s="89"/>
      <c r="AQ850" s="36"/>
    </row>
    <row r="851" spans="1:43">
      <c r="A851" s="58"/>
      <c r="B851" s="44"/>
      <c r="C851" s="45"/>
      <c r="D851" s="137"/>
      <c r="E851" s="87"/>
      <c r="F851" s="88"/>
      <c r="G851" s="97"/>
      <c r="H851" s="89"/>
      <c r="AQ851" s="36"/>
    </row>
    <row r="852" spans="1:43">
      <c r="A852" s="58"/>
      <c r="B852" s="44"/>
      <c r="C852" s="45"/>
      <c r="D852" s="137"/>
      <c r="E852" s="87"/>
      <c r="F852" s="88"/>
      <c r="G852" s="97"/>
      <c r="H852" s="89"/>
      <c r="AQ852" s="36"/>
    </row>
    <row r="853" spans="1:43">
      <c r="A853" s="58"/>
      <c r="B853" s="44"/>
      <c r="C853" s="45"/>
      <c r="D853" s="137"/>
      <c r="E853" s="87"/>
      <c r="F853" s="88"/>
      <c r="G853" s="97"/>
      <c r="H853" s="89"/>
      <c r="AQ853" s="36"/>
    </row>
    <row r="854" spans="1:43">
      <c r="A854" s="58"/>
      <c r="B854" s="44"/>
      <c r="C854" s="45"/>
      <c r="D854" s="137"/>
      <c r="E854" s="87"/>
      <c r="F854" s="88"/>
      <c r="G854" s="97"/>
      <c r="H854" s="89"/>
      <c r="AQ854" s="36"/>
    </row>
    <row r="855" spans="1:43">
      <c r="A855" s="58"/>
      <c r="B855" s="44"/>
      <c r="C855" s="45"/>
      <c r="D855" s="137"/>
      <c r="E855" s="87"/>
      <c r="F855" s="88"/>
      <c r="G855" s="97"/>
      <c r="H855" s="89"/>
      <c r="AQ855" s="36"/>
    </row>
    <row r="856" spans="1:43">
      <c r="A856" s="58"/>
      <c r="B856" s="44"/>
      <c r="C856" s="45"/>
      <c r="D856" s="137"/>
      <c r="E856" s="87"/>
      <c r="F856" s="88"/>
      <c r="G856" s="97"/>
      <c r="H856" s="89"/>
      <c r="AQ856" s="36"/>
    </row>
    <row r="857" spans="1:43">
      <c r="A857" s="58"/>
      <c r="B857" s="44"/>
      <c r="C857" s="45"/>
      <c r="D857" s="137"/>
      <c r="E857" s="87"/>
      <c r="F857" s="88"/>
      <c r="G857" s="97"/>
      <c r="H857" s="89"/>
      <c r="AQ857" s="36"/>
    </row>
    <row r="858" spans="1:43">
      <c r="A858" s="58"/>
      <c r="B858" s="44"/>
      <c r="C858" s="45"/>
      <c r="D858" s="137"/>
      <c r="E858" s="87"/>
      <c r="F858" s="88"/>
      <c r="G858" s="97"/>
      <c r="H858" s="89"/>
      <c r="AQ858" s="36"/>
    </row>
    <row r="859" spans="1:43">
      <c r="A859" s="58"/>
      <c r="B859" s="44"/>
      <c r="C859" s="45"/>
      <c r="D859" s="137"/>
      <c r="E859" s="87"/>
      <c r="F859" s="88"/>
      <c r="G859" s="97"/>
      <c r="H859" s="89"/>
      <c r="AQ859" s="36"/>
    </row>
    <row r="860" spans="1:43">
      <c r="A860" s="58"/>
      <c r="B860" s="44"/>
      <c r="C860" s="45"/>
      <c r="D860" s="137"/>
      <c r="E860" s="87"/>
      <c r="F860" s="88"/>
      <c r="G860" s="97"/>
      <c r="H860" s="89"/>
      <c r="AQ860" s="36"/>
    </row>
    <row r="861" spans="1:43">
      <c r="A861" s="58"/>
      <c r="B861" s="44"/>
      <c r="C861" s="45"/>
      <c r="D861" s="137"/>
      <c r="E861" s="87"/>
      <c r="F861" s="88"/>
      <c r="G861" s="97"/>
      <c r="H861" s="89"/>
      <c r="AQ861" s="36"/>
    </row>
    <row r="862" spans="1:43">
      <c r="A862" s="58"/>
      <c r="B862" s="44"/>
      <c r="C862" s="45"/>
      <c r="D862" s="137"/>
      <c r="E862" s="87"/>
      <c r="F862" s="88"/>
      <c r="G862" s="97"/>
      <c r="H862" s="89"/>
      <c r="AQ862" s="36"/>
    </row>
    <row r="863" spans="1:43">
      <c r="A863" s="58"/>
      <c r="B863" s="44"/>
      <c r="C863" s="45"/>
      <c r="D863" s="137"/>
      <c r="E863" s="87"/>
      <c r="F863" s="88"/>
      <c r="G863" s="97"/>
      <c r="H863" s="89"/>
      <c r="AQ863" s="36"/>
    </row>
    <row r="864" spans="1:43">
      <c r="A864" s="58"/>
      <c r="B864" s="44"/>
      <c r="C864" s="45"/>
      <c r="D864" s="137"/>
      <c r="E864" s="87"/>
      <c r="F864" s="88"/>
      <c r="G864" s="97"/>
      <c r="H864" s="89"/>
      <c r="AQ864" s="36"/>
    </row>
    <row r="865" spans="1:43">
      <c r="A865" s="58"/>
      <c r="B865" s="44"/>
      <c r="C865" s="45"/>
      <c r="D865" s="137"/>
      <c r="E865" s="87"/>
      <c r="F865" s="88"/>
      <c r="G865" s="97"/>
      <c r="H865" s="89"/>
      <c r="AQ865" s="36"/>
    </row>
    <row r="866" spans="1:43">
      <c r="A866" s="58"/>
      <c r="B866" s="44"/>
      <c r="C866" s="45"/>
      <c r="D866" s="137"/>
      <c r="E866" s="87"/>
      <c r="F866" s="88"/>
      <c r="G866" s="97"/>
      <c r="H866" s="89"/>
      <c r="AQ866" s="36"/>
    </row>
    <row r="867" spans="1:43">
      <c r="A867" s="58"/>
      <c r="B867" s="44"/>
      <c r="C867" s="45"/>
      <c r="D867" s="137"/>
      <c r="E867" s="87"/>
      <c r="F867" s="88"/>
      <c r="G867" s="97"/>
      <c r="H867" s="89"/>
      <c r="AQ867" s="36"/>
    </row>
    <row r="868" spans="1:43">
      <c r="A868" s="58"/>
      <c r="B868" s="44"/>
      <c r="C868" s="45"/>
      <c r="D868" s="137"/>
      <c r="E868" s="87"/>
      <c r="F868" s="88"/>
      <c r="G868" s="97"/>
      <c r="H868" s="89"/>
      <c r="AQ868" s="36"/>
    </row>
    <row r="869" spans="1:43">
      <c r="A869" s="58"/>
      <c r="B869" s="44"/>
      <c r="C869" s="45"/>
      <c r="D869" s="137"/>
      <c r="E869" s="87"/>
      <c r="F869" s="88"/>
      <c r="G869" s="97"/>
      <c r="H869" s="89"/>
      <c r="AQ869" s="36"/>
    </row>
    <row r="870" spans="1:43">
      <c r="A870" s="58"/>
      <c r="B870" s="44"/>
      <c r="C870" s="45"/>
      <c r="D870" s="137"/>
      <c r="E870" s="87"/>
      <c r="F870" s="88"/>
      <c r="G870" s="97"/>
      <c r="H870" s="89"/>
      <c r="AQ870" s="36"/>
    </row>
    <row r="871" spans="1:43">
      <c r="A871" s="58"/>
      <c r="B871" s="44"/>
      <c r="C871" s="45"/>
      <c r="D871" s="137"/>
      <c r="E871" s="87"/>
      <c r="F871" s="88"/>
      <c r="G871" s="97"/>
      <c r="H871" s="89"/>
      <c r="AQ871" s="36"/>
    </row>
    <row r="872" spans="1:43">
      <c r="A872" s="58"/>
      <c r="B872" s="44"/>
      <c r="C872" s="45"/>
      <c r="D872" s="137"/>
      <c r="E872" s="87"/>
      <c r="F872" s="88"/>
      <c r="G872" s="97"/>
      <c r="H872" s="89"/>
      <c r="AQ872" s="36"/>
    </row>
    <row r="873" spans="1:43">
      <c r="A873" s="58"/>
      <c r="B873" s="44"/>
      <c r="C873" s="45"/>
      <c r="D873" s="137"/>
      <c r="E873" s="87"/>
      <c r="F873" s="88"/>
      <c r="G873" s="97"/>
      <c r="H873" s="89"/>
      <c r="AQ873" s="36"/>
    </row>
    <row r="874" spans="1:43">
      <c r="A874" s="58"/>
      <c r="B874" s="44"/>
      <c r="C874" s="45"/>
      <c r="D874" s="137"/>
      <c r="E874" s="87"/>
      <c r="F874" s="88"/>
      <c r="G874" s="97"/>
      <c r="H874" s="89"/>
      <c r="AQ874" s="36"/>
    </row>
    <row r="875" spans="1:43">
      <c r="A875" s="58"/>
      <c r="B875" s="44"/>
      <c r="C875" s="45"/>
      <c r="D875" s="137"/>
      <c r="E875" s="87"/>
      <c r="F875" s="88"/>
      <c r="G875" s="97"/>
      <c r="H875" s="89"/>
      <c r="AQ875" s="36"/>
    </row>
    <row r="876" spans="1:43">
      <c r="A876" s="58"/>
      <c r="B876" s="44"/>
      <c r="C876" s="45"/>
      <c r="D876" s="137"/>
      <c r="E876" s="87"/>
      <c r="F876" s="88"/>
      <c r="G876" s="97"/>
      <c r="H876" s="89"/>
      <c r="AQ876" s="36"/>
    </row>
    <row r="877" spans="1:43">
      <c r="A877" s="58"/>
      <c r="B877" s="44"/>
      <c r="C877" s="45"/>
      <c r="D877" s="137"/>
      <c r="E877" s="87"/>
      <c r="F877" s="88"/>
      <c r="G877" s="97"/>
      <c r="H877" s="89"/>
      <c r="AQ877" s="36"/>
    </row>
    <row r="878" spans="1:43">
      <c r="A878" s="58"/>
      <c r="B878" s="44"/>
      <c r="C878" s="45"/>
      <c r="D878" s="137"/>
      <c r="E878" s="87"/>
      <c r="F878" s="88"/>
      <c r="G878" s="97"/>
      <c r="H878" s="89"/>
      <c r="AQ878" s="36"/>
    </row>
    <row r="879" spans="1:43">
      <c r="A879" s="58"/>
      <c r="B879" s="44"/>
      <c r="C879" s="45"/>
      <c r="D879" s="137"/>
      <c r="E879" s="87"/>
      <c r="F879" s="88"/>
      <c r="G879" s="97"/>
      <c r="H879" s="89"/>
      <c r="AQ879" s="36"/>
    </row>
    <row r="880" spans="1:43">
      <c r="A880" s="58"/>
      <c r="B880" s="44"/>
      <c r="C880" s="45"/>
      <c r="D880" s="137"/>
      <c r="E880" s="87"/>
      <c r="F880" s="88"/>
      <c r="G880" s="97"/>
      <c r="H880" s="89"/>
      <c r="AQ880" s="36"/>
    </row>
    <row r="881" spans="1:43">
      <c r="A881" s="58"/>
      <c r="B881" s="44"/>
      <c r="C881" s="45"/>
      <c r="D881" s="137"/>
      <c r="E881" s="87"/>
      <c r="F881" s="88"/>
      <c r="G881" s="97"/>
      <c r="H881" s="89"/>
      <c r="AQ881" s="36"/>
    </row>
    <row r="882" spans="1:43">
      <c r="A882" s="58"/>
      <c r="B882" s="44"/>
      <c r="C882" s="45"/>
      <c r="D882" s="137"/>
      <c r="E882" s="87"/>
      <c r="F882" s="88"/>
      <c r="G882" s="97"/>
      <c r="H882" s="89"/>
      <c r="AQ882" s="36"/>
    </row>
    <row r="883" spans="1:43">
      <c r="A883" s="58"/>
      <c r="B883" s="44"/>
      <c r="C883" s="45"/>
      <c r="D883" s="137"/>
      <c r="E883" s="87"/>
      <c r="F883" s="88"/>
      <c r="G883" s="97"/>
      <c r="H883" s="89"/>
      <c r="AQ883" s="36"/>
    </row>
    <row r="884" spans="1:43">
      <c r="A884" s="58"/>
      <c r="B884" s="44"/>
      <c r="C884" s="45"/>
      <c r="D884" s="137"/>
      <c r="E884" s="87"/>
      <c r="F884" s="88"/>
      <c r="G884" s="97"/>
      <c r="H884" s="89"/>
      <c r="AQ884" s="36"/>
    </row>
    <row r="885" spans="1:43">
      <c r="A885" s="58"/>
      <c r="B885" s="44"/>
      <c r="C885" s="45"/>
      <c r="D885" s="137"/>
      <c r="E885" s="87"/>
      <c r="F885" s="88"/>
      <c r="G885" s="97"/>
      <c r="H885" s="89"/>
      <c r="AQ885" s="36"/>
    </row>
    <row r="886" spans="1:43">
      <c r="A886" s="58"/>
      <c r="B886" s="44"/>
      <c r="C886" s="45"/>
      <c r="D886" s="137"/>
      <c r="E886" s="87"/>
      <c r="F886" s="88"/>
      <c r="G886" s="97"/>
      <c r="H886" s="89"/>
      <c r="AQ886" s="36"/>
    </row>
    <row r="887" spans="1:43">
      <c r="A887" s="58"/>
      <c r="B887" s="44"/>
      <c r="C887" s="45"/>
      <c r="D887" s="137"/>
      <c r="E887" s="87"/>
      <c r="F887" s="88"/>
      <c r="G887" s="97"/>
      <c r="H887" s="89"/>
      <c r="AQ887" s="36"/>
    </row>
    <row r="888" spans="1:43">
      <c r="A888" s="58"/>
      <c r="B888" s="44"/>
      <c r="C888" s="45"/>
      <c r="D888" s="137"/>
      <c r="E888" s="87"/>
      <c r="F888" s="88"/>
      <c r="G888" s="97"/>
      <c r="H888" s="89"/>
      <c r="AQ888" s="36"/>
    </row>
    <row r="889" spans="1:43">
      <c r="A889" s="58"/>
      <c r="B889" s="44"/>
      <c r="C889" s="45"/>
      <c r="D889" s="137"/>
      <c r="E889" s="87"/>
      <c r="F889" s="88"/>
      <c r="G889" s="97"/>
      <c r="H889" s="89"/>
      <c r="AQ889" s="36"/>
    </row>
    <row r="890" spans="1:43">
      <c r="A890" s="58"/>
      <c r="B890" s="44"/>
      <c r="C890" s="45"/>
      <c r="D890" s="137"/>
      <c r="E890" s="87"/>
      <c r="F890" s="88"/>
      <c r="G890" s="97"/>
      <c r="H890" s="89"/>
      <c r="AQ890" s="36"/>
    </row>
    <row r="891" spans="1:43">
      <c r="A891" s="58"/>
      <c r="B891" s="44"/>
      <c r="C891" s="45"/>
      <c r="D891" s="137"/>
      <c r="E891" s="87"/>
      <c r="F891" s="88"/>
      <c r="G891" s="97"/>
      <c r="H891" s="89"/>
      <c r="AQ891" s="36"/>
    </row>
    <row r="892" spans="1:43">
      <c r="A892" s="58"/>
      <c r="B892" s="44"/>
      <c r="C892" s="45"/>
      <c r="D892" s="137"/>
      <c r="E892" s="87"/>
      <c r="F892" s="88"/>
      <c r="G892" s="97"/>
      <c r="H892" s="89"/>
      <c r="AQ892" s="36"/>
    </row>
    <row r="893" spans="1:43">
      <c r="A893" s="58"/>
      <c r="B893" s="44"/>
      <c r="C893" s="45"/>
      <c r="D893" s="137"/>
      <c r="E893" s="87"/>
      <c r="F893" s="88"/>
      <c r="G893" s="97"/>
      <c r="H893" s="89"/>
      <c r="AQ893" s="36"/>
    </row>
    <row r="894" spans="1:43">
      <c r="A894" s="58"/>
      <c r="B894" s="44"/>
      <c r="C894" s="45"/>
      <c r="D894" s="137"/>
      <c r="E894" s="87"/>
      <c r="F894" s="88"/>
      <c r="G894" s="97"/>
      <c r="H894" s="89"/>
      <c r="AQ894" s="36"/>
    </row>
    <row r="895" spans="1:43">
      <c r="A895" s="58"/>
      <c r="B895" s="44"/>
      <c r="C895" s="45"/>
      <c r="D895" s="137"/>
      <c r="E895" s="87"/>
      <c r="F895" s="88"/>
      <c r="G895" s="97"/>
      <c r="H895" s="89"/>
      <c r="AQ895" s="36"/>
    </row>
    <row r="896" spans="1:43">
      <c r="A896" s="58"/>
      <c r="B896" s="44"/>
      <c r="C896" s="45"/>
      <c r="D896" s="137"/>
      <c r="E896" s="87"/>
      <c r="F896" s="88"/>
      <c r="G896" s="97"/>
      <c r="H896" s="89"/>
      <c r="AQ896" s="36"/>
    </row>
    <row r="897" spans="1:43">
      <c r="A897" s="58"/>
      <c r="B897" s="44"/>
      <c r="C897" s="45"/>
      <c r="D897" s="137"/>
      <c r="E897" s="87"/>
      <c r="F897" s="88"/>
      <c r="G897" s="97"/>
      <c r="H897" s="89"/>
      <c r="AQ897" s="36"/>
    </row>
    <row r="898" spans="1:43">
      <c r="A898" s="58"/>
      <c r="B898" s="44"/>
      <c r="C898" s="45"/>
      <c r="D898" s="137"/>
      <c r="E898" s="87"/>
      <c r="F898" s="88"/>
      <c r="G898" s="97"/>
      <c r="H898" s="89"/>
      <c r="AQ898" s="36"/>
    </row>
    <row r="899" spans="1:43">
      <c r="A899" s="58"/>
      <c r="B899" s="44"/>
      <c r="C899" s="45"/>
      <c r="D899" s="137"/>
      <c r="E899" s="87"/>
      <c r="F899" s="88"/>
      <c r="G899" s="97"/>
      <c r="H899" s="89"/>
      <c r="AQ899" s="36"/>
    </row>
    <row r="900" spans="1:43">
      <c r="A900" s="58"/>
      <c r="B900" s="44"/>
      <c r="C900" s="45"/>
      <c r="D900" s="137"/>
      <c r="E900" s="87"/>
      <c r="F900" s="88"/>
      <c r="G900" s="97"/>
      <c r="H900" s="89"/>
      <c r="AQ900" s="36"/>
    </row>
    <row r="901" spans="1:43">
      <c r="A901" s="58"/>
      <c r="B901" s="44"/>
      <c r="C901" s="45"/>
      <c r="D901" s="137"/>
      <c r="E901" s="87"/>
      <c r="F901" s="88"/>
      <c r="G901" s="97"/>
      <c r="H901" s="89"/>
      <c r="AQ901" s="36"/>
    </row>
    <row r="902" spans="1:43">
      <c r="A902" s="58"/>
      <c r="B902" s="44"/>
      <c r="C902" s="45"/>
      <c r="D902" s="137"/>
      <c r="E902" s="87"/>
      <c r="F902" s="88"/>
      <c r="G902" s="97"/>
      <c r="H902" s="89"/>
      <c r="AQ902" s="36"/>
    </row>
    <row r="903" spans="1:43">
      <c r="A903" s="58"/>
      <c r="B903" s="44"/>
      <c r="C903" s="45"/>
      <c r="D903" s="137"/>
      <c r="E903" s="87"/>
      <c r="F903" s="88"/>
      <c r="G903" s="97"/>
      <c r="H903" s="89"/>
      <c r="AQ903" s="36"/>
    </row>
    <row r="904" spans="1:43">
      <c r="A904" s="58"/>
      <c r="B904" s="44"/>
      <c r="C904" s="45"/>
      <c r="D904" s="137"/>
      <c r="E904" s="87"/>
      <c r="F904" s="88"/>
      <c r="G904" s="97"/>
      <c r="H904" s="89"/>
      <c r="AQ904" s="36"/>
    </row>
    <row r="905" spans="1:43">
      <c r="A905" s="58"/>
      <c r="B905" s="44"/>
      <c r="C905" s="45"/>
      <c r="D905" s="137"/>
      <c r="E905" s="87"/>
      <c r="F905" s="88"/>
      <c r="G905" s="97"/>
      <c r="H905" s="89"/>
      <c r="AQ905" s="36"/>
    </row>
    <row r="906" spans="1:43">
      <c r="A906" s="58"/>
      <c r="B906" s="44"/>
      <c r="C906" s="45"/>
      <c r="D906" s="137"/>
      <c r="E906" s="87"/>
      <c r="F906" s="88"/>
      <c r="G906" s="97"/>
      <c r="H906" s="89"/>
      <c r="AQ906" s="36"/>
    </row>
    <row r="907" spans="1:43">
      <c r="A907" s="58"/>
      <c r="B907" s="44"/>
      <c r="C907" s="45"/>
      <c r="D907" s="137"/>
      <c r="E907" s="87"/>
      <c r="F907" s="88"/>
      <c r="G907" s="97"/>
      <c r="H907" s="89"/>
      <c r="AQ907" s="36"/>
    </row>
    <row r="908" spans="1:43">
      <c r="A908" s="58"/>
      <c r="B908" s="44"/>
      <c r="C908" s="45"/>
      <c r="D908" s="137"/>
      <c r="E908" s="87"/>
      <c r="F908" s="88"/>
      <c r="G908" s="97"/>
      <c r="H908" s="89"/>
      <c r="AQ908" s="36"/>
    </row>
    <row r="909" spans="1:43">
      <c r="B909" s="44"/>
      <c r="C909" s="45"/>
      <c r="D909" s="137"/>
      <c r="E909" s="87"/>
      <c r="F909" s="88"/>
      <c r="G909" s="97"/>
      <c r="H909" s="89"/>
      <c r="AQ909" s="36"/>
    </row>
    <row r="910" spans="1:43">
      <c r="B910" s="44"/>
      <c r="C910" s="45"/>
      <c r="D910" s="137"/>
      <c r="E910" s="87"/>
      <c r="F910" s="88"/>
      <c r="G910" s="97"/>
      <c r="H910" s="89"/>
      <c r="AQ910" s="36"/>
    </row>
    <row r="911" spans="1:43">
      <c r="B911" s="44"/>
      <c r="C911" s="45"/>
      <c r="D911" s="137"/>
      <c r="E911" s="87"/>
      <c r="F911" s="88"/>
      <c r="G911" s="97"/>
      <c r="H911" s="89"/>
      <c r="AQ911" s="36"/>
    </row>
    <row r="912" spans="1:43">
      <c r="B912" s="44"/>
      <c r="C912" s="45"/>
      <c r="D912" s="137"/>
      <c r="E912" s="87"/>
      <c r="F912" s="88"/>
      <c r="G912" s="97"/>
      <c r="H912" s="89"/>
      <c r="AQ912" s="36"/>
    </row>
    <row r="913" spans="2:43">
      <c r="B913" s="44"/>
      <c r="C913" s="45"/>
      <c r="D913" s="137"/>
      <c r="E913" s="87"/>
      <c r="F913" s="88"/>
      <c r="G913" s="97"/>
      <c r="H913" s="89"/>
      <c r="AQ913" s="36"/>
    </row>
    <row r="914" spans="2:43">
      <c r="B914" s="44"/>
      <c r="C914" s="45"/>
      <c r="D914" s="137"/>
      <c r="E914" s="87"/>
      <c r="F914" s="88"/>
      <c r="G914" s="97"/>
      <c r="H914" s="89"/>
      <c r="AQ914" s="36"/>
    </row>
    <row r="915" spans="2:43">
      <c r="B915" s="44"/>
      <c r="C915" s="45"/>
      <c r="D915" s="137"/>
      <c r="E915" s="87"/>
      <c r="F915" s="88"/>
      <c r="G915" s="97"/>
      <c r="H915" s="89"/>
      <c r="AQ915" s="36"/>
    </row>
    <row r="916" spans="2:43">
      <c r="B916" s="44"/>
      <c r="C916" s="45"/>
      <c r="D916" s="137"/>
      <c r="E916" s="87"/>
      <c r="F916" s="88"/>
      <c r="G916" s="97"/>
      <c r="H916" s="89"/>
      <c r="AQ916" s="36"/>
    </row>
    <row r="917" spans="2:43">
      <c r="B917" s="44"/>
      <c r="C917" s="45"/>
      <c r="D917" s="137"/>
      <c r="E917" s="87"/>
      <c r="F917" s="88"/>
      <c r="G917" s="97"/>
      <c r="H917" s="89"/>
      <c r="AQ917" s="36"/>
    </row>
    <row r="918" spans="2:43">
      <c r="B918" s="44"/>
      <c r="C918" s="45"/>
      <c r="D918" s="137"/>
      <c r="E918" s="87"/>
      <c r="F918" s="88"/>
      <c r="G918" s="97"/>
      <c r="H918" s="89"/>
      <c r="AQ918" s="36"/>
    </row>
    <row r="919" spans="2:43">
      <c r="B919" s="44"/>
      <c r="C919" s="45"/>
      <c r="D919" s="137"/>
      <c r="E919" s="87"/>
      <c r="F919" s="88"/>
      <c r="G919" s="97"/>
      <c r="H919" s="89"/>
      <c r="AQ919" s="36"/>
    </row>
    <row r="920" spans="2:43">
      <c r="B920" s="44"/>
      <c r="C920" s="45"/>
      <c r="D920" s="137"/>
      <c r="E920" s="87"/>
      <c r="F920" s="88"/>
      <c r="G920" s="97"/>
      <c r="H920" s="89"/>
      <c r="AQ920" s="36"/>
    </row>
    <row r="921" spans="2:43">
      <c r="B921" s="44"/>
      <c r="C921" s="45"/>
      <c r="D921" s="137"/>
      <c r="E921" s="87"/>
      <c r="F921" s="88"/>
      <c r="G921" s="97"/>
      <c r="H921" s="89"/>
      <c r="AQ921" s="36"/>
    </row>
    <row r="922" spans="2:43">
      <c r="B922" s="44"/>
      <c r="C922" s="45"/>
      <c r="D922" s="137"/>
      <c r="E922" s="87"/>
      <c r="F922" s="88"/>
      <c r="G922" s="97"/>
      <c r="H922" s="89"/>
      <c r="AQ922" s="36"/>
    </row>
    <row r="923" spans="2:43">
      <c r="B923" s="44"/>
      <c r="C923" s="45"/>
      <c r="D923" s="137"/>
      <c r="E923" s="87"/>
      <c r="F923" s="88"/>
      <c r="G923" s="97"/>
      <c r="H923" s="89"/>
      <c r="AQ923" s="36"/>
    </row>
    <row r="924" spans="2:43">
      <c r="B924" s="44"/>
      <c r="C924" s="45"/>
      <c r="D924" s="137"/>
      <c r="E924" s="87"/>
      <c r="F924" s="88"/>
      <c r="G924" s="97"/>
      <c r="H924" s="89"/>
      <c r="AQ924" s="36"/>
    </row>
    <row r="925" spans="2:43">
      <c r="B925" s="44"/>
      <c r="C925" s="45"/>
      <c r="D925" s="137"/>
      <c r="E925" s="87"/>
      <c r="F925" s="88"/>
      <c r="G925" s="97"/>
      <c r="H925" s="89"/>
      <c r="AQ925" s="36"/>
    </row>
    <row r="926" spans="2:43">
      <c r="B926" s="44"/>
      <c r="C926" s="45"/>
      <c r="D926" s="137"/>
      <c r="E926" s="87"/>
      <c r="F926" s="88"/>
      <c r="G926" s="97"/>
      <c r="H926" s="89"/>
      <c r="AQ926" s="36"/>
    </row>
    <row r="927" spans="2:43">
      <c r="B927" s="44"/>
      <c r="C927" s="45"/>
      <c r="D927" s="137"/>
      <c r="E927" s="87"/>
      <c r="F927" s="88"/>
      <c r="G927" s="97"/>
      <c r="H927" s="89"/>
      <c r="AQ927" s="36"/>
    </row>
    <row r="928" spans="2:43">
      <c r="B928" s="44"/>
      <c r="C928" s="45"/>
      <c r="D928" s="137"/>
      <c r="E928" s="87"/>
      <c r="F928" s="88"/>
      <c r="G928" s="97"/>
      <c r="H928" s="89"/>
      <c r="AQ928" s="36"/>
    </row>
    <row r="929" spans="2:43">
      <c r="B929" s="44"/>
      <c r="C929" s="45"/>
      <c r="D929" s="137"/>
      <c r="E929" s="87"/>
      <c r="F929" s="88"/>
      <c r="G929" s="97"/>
      <c r="H929" s="89"/>
      <c r="AQ929" s="36"/>
    </row>
    <row r="930" spans="2:43">
      <c r="B930" s="44"/>
      <c r="C930" s="45"/>
      <c r="D930" s="137"/>
      <c r="E930" s="87"/>
      <c r="F930" s="88"/>
      <c r="G930" s="97"/>
      <c r="H930" s="89"/>
      <c r="AQ930" s="36"/>
    </row>
    <row r="931" spans="2:43">
      <c r="B931" s="44"/>
      <c r="C931" s="45"/>
      <c r="D931" s="137"/>
      <c r="E931" s="87"/>
      <c r="F931" s="88"/>
      <c r="G931" s="97"/>
      <c r="H931" s="89"/>
      <c r="AQ931" s="36"/>
    </row>
    <row r="932" spans="2:43">
      <c r="B932" s="44"/>
      <c r="C932" s="45"/>
      <c r="D932" s="137"/>
      <c r="E932" s="87"/>
      <c r="F932" s="88"/>
      <c r="G932" s="97"/>
      <c r="H932" s="89"/>
      <c r="AQ932" s="36"/>
    </row>
    <row r="933" spans="2:43">
      <c r="B933" s="44"/>
      <c r="C933" s="45"/>
      <c r="D933" s="137"/>
      <c r="E933" s="87"/>
      <c r="F933" s="88"/>
      <c r="G933" s="97"/>
      <c r="H933" s="89"/>
      <c r="AQ933" s="36"/>
    </row>
    <row r="934" spans="2:43">
      <c r="B934" s="44"/>
      <c r="C934" s="45"/>
      <c r="D934" s="137"/>
      <c r="E934" s="87"/>
      <c r="F934" s="88"/>
      <c r="G934" s="97"/>
      <c r="H934" s="89"/>
      <c r="AQ934" s="36"/>
    </row>
    <row r="935" spans="2:43">
      <c r="B935" s="44"/>
      <c r="C935" s="45"/>
      <c r="D935" s="137"/>
      <c r="E935" s="87"/>
      <c r="F935" s="88"/>
      <c r="G935" s="97"/>
      <c r="H935" s="89"/>
      <c r="AQ935" s="36"/>
    </row>
    <row r="936" spans="2:43">
      <c r="B936" s="44"/>
      <c r="C936" s="45"/>
      <c r="D936" s="137"/>
      <c r="E936" s="87"/>
      <c r="F936" s="88"/>
      <c r="G936" s="97"/>
      <c r="H936" s="89"/>
      <c r="AQ936" s="36"/>
    </row>
    <row r="937" spans="2:43">
      <c r="B937" s="44"/>
      <c r="C937" s="45"/>
      <c r="D937" s="137"/>
      <c r="E937" s="87"/>
      <c r="F937" s="88"/>
      <c r="G937" s="97"/>
      <c r="H937" s="89"/>
      <c r="AQ937" s="36"/>
    </row>
    <row r="938" spans="2:43">
      <c r="B938" s="44"/>
      <c r="C938" s="45"/>
      <c r="D938" s="137"/>
      <c r="E938" s="87"/>
      <c r="F938" s="88"/>
      <c r="G938" s="97"/>
      <c r="H938" s="89"/>
      <c r="AQ938" s="36"/>
    </row>
    <row r="939" spans="2:43">
      <c r="B939" s="44"/>
      <c r="C939" s="45"/>
      <c r="D939" s="137"/>
      <c r="E939" s="87"/>
      <c r="F939" s="88"/>
      <c r="G939" s="97"/>
      <c r="H939" s="89"/>
      <c r="AQ939" s="36"/>
    </row>
    <row r="940" spans="2:43">
      <c r="B940" s="44"/>
      <c r="C940" s="45"/>
      <c r="D940" s="137"/>
      <c r="E940" s="87"/>
      <c r="F940" s="88"/>
      <c r="G940" s="97"/>
      <c r="H940" s="89"/>
      <c r="AQ940" s="36"/>
    </row>
    <row r="941" spans="2:43">
      <c r="B941" s="44"/>
      <c r="C941" s="45"/>
      <c r="D941" s="137"/>
      <c r="E941" s="87"/>
      <c r="F941" s="88"/>
      <c r="G941" s="97"/>
      <c r="H941" s="89"/>
      <c r="AQ941" s="36"/>
    </row>
    <row r="942" spans="2:43">
      <c r="B942" s="44"/>
      <c r="C942" s="45"/>
      <c r="D942" s="137"/>
      <c r="E942" s="87"/>
      <c r="F942" s="88"/>
      <c r="G942" s="97"/>
      <c r="H942" s="89"/>
      <c r="AQ942" s="36"/>
    </row>
    <row r="943" spans="2:43">
      <c r="B943" s="44"/>
      <c r="C943" s="45"/>
      <c r="D943" s="137"/>
      <c r="E943" s="87"/>
      <c r="F943" s="88"/>
      <c r="G943" s="97"/>
      <c r="H943" s="89"/>
      <c r="AQ943" s="36"/>
    </row>
    <row r="944" spans="2:43">
      <c r="B944" s="44"/>
      <c r="C944" s="45"/>
      <c r="D944" s="137"/>
      <c r="E944" s="87"/>
      <c r="F944" s="88"/>
      <c r="G944" s="97"/>
      <c r="H944" s="89"/>
      <c r="AQ944" s="36"/>
    </row>
    <row r="945" spans="2:43">
      <c r="B945" s="44"/>
      <c r="C945" s="45"/>
      <c r="D945" s="137"/>
      <c r="E945" s="87"/>
      <c r="F945" s="88"/>
      <c r="G945" s="97"/>
      <c r="H945" s="89"/>
      <c r="AQ945" s="36"/>
    </row>
    <row r="946" spans="2:43">
      <c r="B946" s="44"/>
      <c r="C946" s="45"/>
      <c r="D946" s="137"/>
      <c r="E946" s="87"/>
      <c r="F946" s="88"/>
      <c r="G946" s="97"/>
      <c r="H946" s="89"/>
      <c r="AQ946" s="36"/>
    </row>
    <row r="947" spans="2:43">
      <c r="B947" s="44"/>
      <c r="C947" s="45"/>
      <c r="D947" s="137"/>
      <c r="E947" s="87"/>
      <c r="F947" s="88"/>
      <c r="G947" s="97"/>
      <c r="H947" s="89"/>
      <c r="AQ947" s="36"/>
    </row>
    <row r="948" spans="2:43">
      <c r="B948" s="44"/>
      <c r="C948" s="45"/>
      <c r="D948" s="137"/>
      <c r="E948" s="87"/>
      <c r="F948" s="88"/>
      <c r="G948" s="97"/>
      <c r="H948" s="89"/>
      <c r="AQ948" s="36"/>
    </row>
    <row r="949" spans="2:43">
      <c r="B949" s="44"/>
      <c r="C949" s="45"/>
      <c r="D949" s="137"/>
      <c r="E949" s="87"/>
      <c r="F949" s="88"/>
      <c r="G949" s="97"/>
      <c r="H949" s="89"/>
      <c r="AQ949" s="36"/>
    </row>
    <row r="950" spans="2:43">
      <c r="B950" s="44"/>
      <c r="C950" s="45"/>
      <c r="D950" s="137"/>
      <c r="E950" s="87"/>
      <c r="F950" s="88"/>
      <c r="G950" s="97"/>
      <c r="H950" s="89"/>
      <c r="AQ950" s="36"/>
    </row>
    <row r="951" spans="2:43">
      <c r="B951" s="44"/>
      <c r="C951" s="45"/>
      <c r="D951" s="137"/>
      <c r="E951" s="87"/>
      <c r="F951" s="88"/>
      <c r="G951" s="97"/>
      <c r="H951" s="89"/>
      <c r="AQ951" s="36"/>
    </row>
    <row r="952" spans="2:43">
      <c r="B952" s="44"/>
      <c r="C952" s="45"/>
      <c r="D952" s="137"/>
      <c r="E952" s="87"/>
      <c r="F952" s="88"/>
      <c r="G952" s="97"/>
      <c r="H952" s="89"/>
      <c r="AQ952" s="36"/>
    </row>
    <row r="953" spans="2:43">
      <c r="B953" s="44"/>
      <c r="C953" s="45"/>
      <c r="D953" s="137"/>
      <c r="E953" s="87"/>
      <c r="F953" s="88"/>
      <c r="G953" s="97"/>
      <c r="H953" s="89"/>
      <c r="AQ953" s="36"/>
    </row>
    <row r="954" spans="2:43">
      <c r="B954" s="44"/>
      <c r="C954" s="45"/>
      <c r="D954" s="137"/>
      <c r="E954" s="87"/>
      <c r="F954" s="88"/>
      <c r="G954" s="97"/>
      <c r="H954" s="89"/>
      <c r="AQ954" s="36"/>
    </row>
    <row r="955" spans="2:43">
      <c r="B955" s="44"/>
      <c r="C955" s="45"/>
      <c r="D955" s="137"/>
      <c r="E955" s="87"/>
      <c r="F955" s="88"/>
      <c r="G955" s="97"/>
      <c r="H955" s="89"/>
      <c r="AQ955" s="36"/>
    </row>
    <row r="956" spans="2:43">
      <c r="B956" s="44"/>
      <c r="C956" s="45"/>
      <c r="D956" s="137"/>
      <c r="E956" s="87"/>
      <c r="F956" s="88"/>
      <c r="G956" s="97"/>
      <c r="H956" s="89"/>
      <c r="AQ956" s="36"/>
    </row>
    <row r="957" spans="2:43">
      <c r="B957" s="44"/>
      <c r="C957" s="45"/>
      <c r="D957" s="137"/>
      <c r="E957" s="87"/>
      <c r="F957" s="88"/>
      <c r="G957" s="97"/>
      <c r="H957" s="89"/>
      <c r="AQ957" s="36"/>
    </row>
    <row r="958" spans="2:43">
      <c r="B958" s="44"/>
      <c r="C958" s="45"/>
      <c r="D958" s="137"/>
      <c r="E958" s="87"/>
      <c r="F958" s="88"/>
      <c r="G958" s="97"/>
      <c r="H958" s="89"/>
      <c r="AQ958" s="36"/>
    </row>
    <row r="959" spans="2:43">
      <c r="B959" s="44"/>
      <c r="C959" s="45"/>
      <c r="D959" s="137"/>
      <c r="E959" s="87"/>
      <c r="F959" s="88"/>
      <c r="G959" s="97"/>
      <c r="H959" s="89"/>
      <c r="AQ959" s="36"/>
    </row>
    <row r="960" spans="2:43">
      <c r="B960" s="44"/>
      <c r="C960" s="45"/>
      <c r="D960" s="137"/>
      <c r="E960" s="87"/>
      <c r="F960" s="88"/>
      <c r="G960" s="97"/>
      <c r="H960" s="89"/>
      <c r="AQ960" s="36"/>
    </row>
    <row r="961" spans="2:43">
      <c r="B961" s="44"/>
      <c r="C961" s="45"/>
      <c r="D961" s="137"/>
      <c r="E961" s="87"/>
      <c r="F961" s="88"/>
      <c r="G961" s="97"/>
      <c r="H961" s="89"/>
      <c r="AQ961" s="36"/>
    </row>
    <row r="962" spans="2:43">
      <c r="B962" s="44"/>
      <c r="C962" s="45"/>
      <c r="D962" s="137"/>
      <c r="E962" s="87"/>
      <c r="F962" s="88"/>
      <c r="G962" s="97"/>
      <c r="H962" s="89"/>
      <c r="AQ962" s="36"/>
    </row>
    <row r="963" spans="2:43">
      <c r="B963" s="44"/>
      <c r="C963" s="45"/>
      <c r="D963" s="137"/>
      <c r="E963" s="87"/>
      <c r="F963" s="88"/>
      <c r="G963" s="97"/>
      <c r="H963" s="89"/>
      <c r="AQ963" s="36"/>
    </row>
    <row r="964" spans="2:43">
      <c r="B964" s="44"/>
      <c r="C964" s="45"/>
      <c r="D964" s="137"/>
      <c r="E964" s="87"/>
      <c r="F964" s="88"/>
      <c r="G964" s="97"/>
      <c r="H964" s="89"/>
      <c r="AQ964" s="36"/>
    </row>
    <row r="965" spans="2:43">
      <c r="B965" s="44"/>
      <c r="C965" s="45"/>
      <c r="D965" s="137"/>
      <c r="E965" s="87"/>
      <c r="F965" s="88"/>
      <c r="G965" s="97"/>
      <c r="H965" s="89"/>
      <c r="AQ965" s="36"/>
    </row>
    <row r="966" spans="2:43">
      <c r="B966" s="44"/>
      <c r="C966" s="45"/>
      <c r="D966" s="137"/>
      <c r="E966" s="87"/>
      <c r="F966" s="88"/>
      <c r="G966" s="97"/>
      <c r="H966" s="89"/>
      <c r="AQ966" s="36"/>
    </row>
    <row r="967" spans="2:43">
      <c r="B967" s="44"/>
      <c r="C967" s="45"/>
      <c r="D967" s="137"/>
      <c r="E967" s="87"/>
      <c r="F967" s="88"/>
      <c r="G967" s="97"/>
      <c r="H967" s="89"/>
      <c r="AQ967" s="36"/>
    </row>
    <row r="968" spans="2:43">
      <c r="B968" s="44"/>
      <c r="C968" s="45"/>
      <c r="D968" s="137"/>
      <c r="E968" s="87"/>
      <c r="F968" s="88"/>
      <c r="G968" s="97"/>
      <c r="H968" s="89"/>
      <c r="AQ968" s="36"/>
    </row>
    <row r="969" spans="2:43">
      <c r="B969" s="44"/>
      <c r="C969" s="45"/>
      <c r="D969" s="137"/>
      <c r="E969" s="87"/>
      <c r="F969" s="88"/>
      <c r="G969" s="97"/>
      <c r="H969" s="89"/>
      <c r="AQ969" s="36"/>
    </row>
    <row r="970" spans="2:43">
      <c r="B970" s="44"/>
      <c r="C970" s="45"/>
      <c r="D970" s="137"/>
      <c r="E970" s="87"/>
      <c r="F970" s="88"/>
      <c r="G970" s="97"/>
      <c r="H970" s="89"/>
      <c r="AQ970" s="36"/>
    </row>
    <row r="971" spans="2:43">
      <c r="B971" s="44"/>
      <c r="C971" s="45"/>
      <c r="D971" s="137"/>
      <c r="E971" s="87"/>
      <c r="F971" s="88"/>
      <c r="G971" s="97"/>
      <c r="H971" s="89"/>
      <c r="AQ971" s="36"/>
    </row>
    <row r="972" spans="2:43">
      <c r="B972" s="44"/>
      <c r="C972" s="45"/>
      <c r="D972" s="137"/>
      <c r="E972" s="87"/>
      <c r="F972" s="88"/>
      <c r="G972" s="97"/>
      <c r="H972" s="89"/>
      <c r="AQ972" s="36"/>
    </row>
    <row r="973" spans="2:43">
      <c r="B973" s="44"/>
      <c r="C973" s="45"/>
      <c r="D973" s="137"/>
      <c r="E973" s="87"/>
      <c r="F973" s="88"/>
      <c r="G973" s="97"/>
      <c r="H973" s="89"/>
      <c r="AQ973" s="36"/>
    </row>
    <row r="974" spans="2:43">
      <c r="B974" s="44"/>
      <c r="C974" s="45"/>
      <c r="D974" s="137"/>
      <c r="E974" s="87"/>
      <c r="F974" s="88"/>
      <c r="G974" s="97"/>
      <c r="H974" s="89"/>
      <c r="AQ974" s="36"/>
    </row>
    <row r="975" spans="2:43">
      <c r="B975" s="44"/>
      <c r="C975" s="45"/>
      <c r="D975" s="137"/>
      <c r="E975" s="87"/>
      <c r="F975" s="88"/>
      <c r="G975" s="97"/>
      <c r="H975" s="89"/>
      <c r="AQ975" s="36"/>
    </row>
    <row r="976" spans="2:43">
      <c r="B976" s="44"/>
      <c r="C976" s="45"/>
      <c r="D976" s="137"/>
      <c r="E976" s="87"/>
      <c r="F976" s="88"/>
      <c r="G976" s="97"/>
      <c r="H976" s="89"/>
      <c r="AQ976" s="36"/>
    </row>
    <row r="977" spans="2:43">
      <c r="B977" s="44"/>
      <c r="C977" s="45"/>
      <c r="D977" s="137"/>
      <c r="E977" s="87"/>
      <c r="F977" s="88"/>
      <c r="G977" s="97"/>
      <c r="H977" s="89"/>
      <c r="AQ977" s="36"/>
    </row>
    <row r="978" spans="2:43">
      <c r="B978" s="44"/>
      <c r="C978" s="45"/>
      <c r="D978" s="137"/>
      <c r="E978" s="87"/>
      <c r="F978" s="88"/>
      <c r="G978" s="97"/>
      <c r="H978" s="89"/>
      <c r="AQ978" s="36"/>
    </row>
    <row r="979" spans="2:43">
      <c r="B979" s="44"/>
      <c r="C979" s="45"/>
      <c r="D979" s="137"/>
      <c r="E979" s="87"/>
      <c r="F979" s="88"/>
      <c r="G979" s="97"/>
      <c r="H979" s="89"/>
      <c r="AQ979" s="36"/>
    </row>
    <row r="980" spans="2:43">
      <c r="B980" s="44"/>
      <c r="C980" s="45"/>
      <c r="D980" s="137"/>
      <c r="E980" s="87"/>
      <c r="F980" s="88"/>
      <c r="G980" s="97"/>
      <c r="H980" s="89"/>
      <c r="AQ980" s="36"/>
    </row>
    <row r="981" spans="2:43">
      <c r="B981" s="44"/>
      <c r="C981" s="45"/>
      <c r="D981" s="137"/>
      <c r="E981" s="87"/>
      <c r="F981" s="88"/>
      <c r="G981" s="97"/>
      <c r="H981" s="89"/>
      <c r="AQ981" s="36"/>
    </row>
    <row r="982" spans="2:43">
      <c r="B982" s="44"/>
      <c r="C982" s="45"/>
      <c r="D982" s="137"/>
      <c r="E982" s="87"/>
      <c r="F982" s="88"/>
      <c r="G982" s="97"/>
      <c r="H982" s="89"/>
      <c r="AQ982" s="36"/>
    </row>
    <row r="983" spans="2:43">
      <c r="B983" s="44"/>
      <c r="C983" s="45"/>
      <c r="D983" s="137"/>
      <c r="E983" s="87"/>
      <c r="F983" s="88"/>
      <c r="G983" s="97"/>
      <c r="H983" s="89"/>
      <c r="AQ983" s="36"/>
    </row>
    <row r="984" spans="2:43">
      <c r="B984" s="44"/>
      <c r="C984" s="45"/>
      <c r="D984" s="137"/>
      <c r="E984" s="87"/>
      <c r="F984" s="88"/>
      <c r="G984" s="97"/>
      <c r="H984" s="89"/>
      <c r="AQ984" s="36"/>
    </row>
    <row r="985" spans="2:43">
      <c r="B985" s="44"/>
      <c r="C985" s="45"/>
      <c r="D985" s="137"/>
      <c r="E985" s="87"/>
      <c r="F985" s="88"/>
      <c r="G985" s="97"/>
      <c r="H985" s="89"/>
      <c r="AQ985" s="36"/>
    </row>
    <row r="986" spans="2:43">
      <c r="B986" s="44"/>
      <c r="C986" s="45"/>
      <c r="D986" s="137"/>
      <c r="E986" s="87"/>
      <c r="F986" s="88"/>
      <c r="G986" s="97"/>
      <c r="H986" s="89"/>
      <c r="AQ986" s="36"/>
    </row>
    <row r="987" spans="2:43">
      <c r="B987" s="44"/>
      <c r="C987" s="45"/>
      <c r="D987" s="137"/>
      <c r="E987" s="87"/>
      <c r="F987" s="88"/>
      <c r="G987" s="97"/>
      <c r="H987" s="89"/>
      <c r="AQ987" s="36"/>
    </row>
    <row r="988" spans="2:43">
      <c r="B988" s="44"/>
      <c r="C988" s="45"/>
      <c r="D988" s="137"/>
      <c r="E988" s="87"/>
      <c r="F988" s="88"/>
      <c r="G988" s="97"/>
      <c r="H988" s="89"/>
      <c r="AQ988" s="36"/>
    </row>
    <row r="989" spans="2:43">
      <c r="B989" s="44"/>
      <c r="C989" s="45"/>
      <c r="D989" s="137"/>
      <c r="E989" s="87"/>
      <c r="F989" s="88"/>
      <c r="G989" s="97"/>
      <c r="H989" s="89"/>
      <c r="AQ989" s="36"/>
    </row>
    <row r="990" spans="2:43">
      <c r="B990" s="44"/>
      <c r="C990" s="45"/>
      <c r="D990" s="137"/>
      <c r="E990" s="87"/>
      <c r="F990" s="88"/>
      <c r="G990" s="97"/>
      <c r="H990" s="89"/>
      <c r="AQ990" s="36"/>
    </row>
    <row r="991" spans="2:43">
      <c r="B991" s="44"/>
      <c r="C991" s="45"/>
      <c r="D991" s="137"/>
      <c r="E991" s="87"/>
      <c r="F991" s="88"/>
      <c r="G991" s="97"/>
      <c r="H991" s="89"/>
      <c r="AQ991" s="36"/>
    </row>
    <row r="992" spans="2:43">
      <c r="B992" s="44"/>
      <c r="C992" s="45"/>
      <c r="D992" s="137"/>
      <c r="E992" s="87"/>
      <c r="F992" s="88"/>
      <c r="G992" s="97"/>
      <c r="H992" s="89"/>
      <c r="AQ992" s="36"/>
    </row>
    <row r="993" spans="2:43">
      <c r="B993" s="44"/>
      <c r="C993" s="45"/>
      <c r="D993" s="137"/>
      <c r="E993" s="87"/>
      <c r="F993" s="88"/>
      <c r="G993" s="97"/>
      <c r="H993" s="89"/>
      <c r="AQ993" s="36"/>
    </row>
    <row r="994" spans="2:43">
      <c r="B994" s="44"/>
      <c r="C994" s="45"/>
      <c r="D994" s="137"/>
      <c r="E994" s="87"/>
      <c r="F994" s="88"/>
      <c r="G994" s="97"/>
      <c r="H994" s="89"/>
      <c r="AQ994" s="36"/>
    </row>
    <row r="995" spans="2:43">
      <c r="B995" s="44"/>
      <c r="C995" s="45"/>
      <c r="D995" s="137"/>
      <c r="E995" s="87"/>
      <c r="F995" s="88"/>
      <c r="G995" s="97"/>
      <c r="H995" s="89"/>
      <c r="AQ995" s="36"/>
    </row>
    <row r="996" spans="2:43">
      <c r="B996" s="44"/>
      <c r="C996" s="45"/>
      <c r="D996" s="137"/>
      <c r="E996" s="87"/>
      <c r="F996" s="88"/>
      <c r="G996" s="97"/>
      <c r="H996" s="89"/>
      <c r="AQ996" s="36"/>
    </row>
    <row r="997" spans="2:43">
      <c r="B997" s="44"/>
      <c r="C997" s="45"/>
      <c r="D997" s="137"/>
      <c r="E997" s="87"/>
      <c r="F997" s="88"/>
      <c r="G997" s="97"/>
      <c r="H997" s="89"/>
      <c r="AQ997" s="36"/>
    </row>
    <row r="998" spans="2:43">
      <c r="B998" s="44"/>
      <c r="C998" s="45"/>
      <c r="D998" s="137"/>
      <c r="E998" s="87"/>
      <c r="F998" s="88"/>
      <c r="G998" s="97"/>
      <c r="H998" s="89"/>
      <c r="AQ998" s="36"/>
    </row>
    <row r="999" spans="2:43">
      <c r="B999" s="44"/>
      <c r="C999" s="45"/>
      <c r="D999" s="137"/>
      <c r="E999" s="87"/>
      <c r="F999" s="88"/>
      <c r="G999" s="97"/>
      <c r="H999" s="89"/>
      <c r="AQ999" s="36"/>
    </row>
    <row r="1000" spans="2:43">
      <c r="B1000" s="44"/>
      <c r="C1000" s="45"/>
      <c r="D1000" s="137"/>
      <c r="E1000" s="87"/>
      <c r="F1000" s="88"/>
      <c r="G1000" s="97"/>
      <c r="H1000" s="89"/>
      <c r="AQ1000" s="36"/>
    </row>
    <row r="1001" spans="2:43">
      <c r="B1001" s="44"/>
      <c r="C1001" s="45"/>
      <c r="D1001" s="137"/>
      <c r="E1001" s="87"/>
      <c r="F1001" s="88"/>
      <c r="G1001" s="97"/>
      <c r="H1001" s="89"/>
      <c r="AQ1001" s="36"/>
    </row>
    <row r="1002" spans="2:43">
      <c r="B1002" s="44"/>
      <c r="C1002" s="45"/>
      <c r="D1002" s="137"/>
      <c r="E1002" s="87"/>
      <c r="F1002" s="88"/>
      <c r="G1002" s="97"/>
      <c r="H1002" s="89"/>
      <c r="AQ1002" s="36"/>
    </row>
    <row r="1003" spans="2:43">
      <c r="B1003" s="44"/>
      <c r="C1003" s="45"/>
      <c r="D1003" s="137"/>
      <c r="E1003" s="87"/>
      <c r="F1003" s="88"/>
      <c r="G1003" s="97"/>
      <c r="H1003" s="89"/>
      <c r="AQ1003" s="36"/>
    </row>
    <row r="1004" spans="2:43">
      <c r="B1004" s="44"/>
      <c r="C1004" s="45"/>
      <c r="D1004" s="137"/>
      <c r="E1004" s="87"/>
      <c r="F1004" s="88"/>
      <c r="G1004" s="97"/>
      <c r="H1004" s="89"/>
      <c r="AQ1004" s="36"/>
    </row>
    <row r="1005" spans="2:43">
      <c r="B1005" s="44"/>
      <c r="C1005" s="45"/>
      <c r="D1005" s="137"/>
      <c r="E1005" s="87"/>
      <c r="F1005" s="88"/>
      <c r="G1005" s="97"/>
      <c r="H1005" s="89"/>
      <c r="AQ1005" s="36"/>
    </row>
    <row r="1006" spans="2:43">
      <c r="B1006" s="44"/>
      <c r="C1006" s="45"/>
      <c r="D1006" s="137"/>
      <c r="E1006" s="87"/>
      <c r="F1006" s="88"/>
      <c r="G1006" s="97"/>
      <c r="H1006" s="89"/>
      <c r="AQ1006" s="36"/>
    </row>
    <row r="1007" spans="2:43">
      <c r="B1007" s="44"/>
      <c r="C1007" s="45"/>
      <c r="D1007" s="137"/>
      <c r="E1007" s="87"/>
      <c r="F1007" s="88"/>
      <c r="G1007" s="97"/>
      <c r="H1007" s="89"/>
      <c r="AQ1007" s="36"/>
    </row>
    <row r="1008" spans="2:43">
      <c r="B1008" s="44"/>
      <c r="C1008" s="45"/>
      <c r="D1008" s="137"/>
      <c r="E1008" s="87"/>
      <c r="F1008" s="88"/>
      <c r="G1008" s="97"/>
      <c r="H1008" s="89"/>
      <c r="AQ1008" s="36"/>
    </row>
    <row r="1009" spans="1:43">
      <c r="B1009" s="44"/>
      <c r="C1009" s="45"/>
      <c r="D1009" s="137"/>
      <c r="E1009" s="87"/>
      <c r="F1009" s="88"/>
      <c r="G1009" s="97"/>
      <c r="H1009" s="89"/>
      <c r="AQ1009" s="36"/>
    </row>
    <row r="1010" spans="1:43">
      <c r="B1010" s="44"/>
      <c r="C1010" s="45"/>
      <c r="D1010" s="137"/>
      <c r="E1010" s="87"/>
      <c r="F1010" s="88"/>
      <c r="G1010" s="97"/>
      <c r="H1010" s="89"/>
      <c r="AQ1010" s="36"/>
    </row>
    <row r="1011" spans="1:43">
      <c r="B1011" s="44"/>
      <c r="C1011" s="45"/>
      <c r="D1011" s="137"/>
      <c r="E1011" s="87"/>
      <c r="F1011" s="88"/>
      <c r="G1011" s="97"/>
      <c r="H1011" s="89"/>
      <c r="AQ1011" s="36"/>
    </row>
    <row r="1012" spans="1:43">
      <c r="B1012" s="44"/>
      <c r="C1012" s="45"/>
      <c r="D1012" s="137"/>
      <c r="E1012" s="87"/>
      <c r="F1012" s="88"/>
      <c r="G1012" s="97"/>
      <c r="H1012" s="89"/>
      <c r="AQ1012" s="36"/>
    </row>
    <row r="1013" spans="1:43">
      <c r="B1013" s="44"/>
      <c r="C1013" s="45"/>
      <c r="D1013" s="137"/>
      <c r="E1013" s="87"/>
      <c r="F1013" s="88"/>
      <c r="G1013" s="97"/>
      <c r="H1013" s="89"/>
      <c r="AQ1013" s="36"/>
    </row>
    <row r="1014" spans="1:43">
      <c r="B1014" s="44"/>
      <c r="C1014" s="45"/>
      <c r="D1014" s="137"/>
      <c r="E1014" s="87"/>
      <c r="F1014" s="88"/>
      <c r="G1014" s="97"/>
      <c r="H1014" s="89"/>
      <c r="AQ1014" s="36"/>
    </row>
    <row r="1015" spans="1:43">
      <c r="B1015" s="44"/>
      <c r="C1015" s="45"/>
      <c r="D1015" s="137"/>
      <c r="E1015" s="87"/>
      <c r="F1015" s="88"/>
      <c r="G1015" s="97"/>
      <c r="H1015" s="89"/>
      <c r="AQ1015" s="36"/>
    </row>
    <row r="1016" spans="1:43">
      <c r="B1016" s="44"/>
      <c r="C1016" s="45"/>
      <c r="D1016" s="137"/>
      <c r="E1016" s="87"/>
      <c r="F1016" s="88"/>
      <c r="G1016" s="97"/>
      <c r="H1016" s="89"/>
      <c r="AQ1016" s="36"/>
    </row>
    <row r="1017" spans="1:43">
      <c r="B1017" s="44"/>
      <c r="C1017" s="45"/>
      <c r="D1017" s="137"/>
      <c r="E1017" s="87"/>
      <c r="F1017" s="88"/>
      <c r="G1017" s="97"/>
      <c r="H1017" s="89"/>
      <c r="AQ1017" s="36"/>
    </row>
    <row r="1018" spans="1:43">
      <c r="B1018" s="44"/>
      <c r="C1018" s="45"/>
      <c r="D1018" s="137"/>
      <c r="E1018" s="87"/>
      <c r="F1018" s="88"/>
      <c r="G1018" s="97"/>
      <c r="H1018" s="89"/>
      <c r="AQ1018" s="36"/>
    </row>
    <row r="1019" spans="1:43" ht="24">
      <c r="A1019" s="25" t="s">
        <v>915</v>
      </c>
      <c r="D1019" s="172"/>
      <c r="E1019" s="251"/>
      <c r="F1019" s="252"/>
      <c r="G1019" s="163"/>
      <c r="H1019" s="168"/>
      <c r="J1019" s="164"/>
    </row>
    <row r="1020" spans="1:43" ht="24">
      <c r="A1020" s="25" t="s">
        <v>916</v>
      </c>
      <c r="E1020" s="245"/>
      <c r="G1020" s="21"/>
      <c r="H1020" s="20"/>
      <c r="J1020" s="164"/>
    </row>
    <row r="1021" spans="1:43" ht="24">
      <c r="A1021" s="25" t="s">
        <v>917</v>
      </c>
      <c r="J1021" s="164"/>
    </row>
    <row r="1022" spans="1:43" ht="24">
      <c r="A1022" s="25" t="s">
        <v>918</v>
      </c>
      <c r="J1022" s="164"/>
    </row>
    <row r="1023" spans="1:43" ht="24">
      <c r="A1023" s="25" t="s">
        <v>919</v>
      </c>
      <c r="J1023" s="164"/>
    </row>
    <row r="1024" spans="1:43">
      <c r="J1024" s="164"/>
    </row>
    <row r="1025" spans="10:10">
      <c r="J1025" s="164"/>
    </row>
    <row r="1026" spans="10:10">
      <c r="J1026" s="164"/>
    </row>
    <row r="1027" spans="10:10">
      <c r="J1027" s="164"/>
    </row>
    <row r="1028" spans="10:10">
      <c r="J1028" s="164"/>
    </row>
    <row r="1029" spans="10:10">
      <c r="J1029" s="164"/>
    </row>
    <row r="1030" spans="10:10">
      <c r="J1030" s="164"/>
    </row>
    <row r="1031" spans="10:10">
      <c r="J1031" s="164"/>
    </row>
    <row r="1032" spans="10:10">
      <c r="J1032" s="164"/>
    </row>
    <row r="1033" spans="10:10">
      <c r="J1033" s="164"/>
    </row>
    <row r="1034" spans="10:10">
      <c r="J1034" s="164"/>
    </row>
    <row r="1035" spans="10:10">
      <c r="J1035" s="164"/>
    </row>
    <row r="1036" spans="10:10">
      <c r="J1036" s="164"/>
    </row>
    <row r="1037" spans="10:10">
      <c r="J1037" s="164"/>
    </row>
    <row r="1038" spans="10:10">
      <c r="J1038" s="164"/>
    </row>
    <row r="1039" spans="10:10">
      <c r="J1039" s="164"/>
    </row>
    <row r="1040" spans="10:10">
      <c r="J1040" s="164"/>
    </row>
    <row r="1041" spans="10:10">
      <c r="J1041" s="164"/>
    </row>
    <row r="1042" spans="10:10">
      <c r="J1042" s="164"/>
    </row>
    <row r="1043" spans="10:10">
      <c r="J1043" s="164"/>
    </row>
    <row r="1044" spans="10:10">
      <c r="J1044" s="164"/>
    </row>
    <row r="1045" spans="10:10">
      <c r="J1045" s="164"/>
    </row>
    <row r="1046" spans="10:10">
      <c r="J1046" s="164"/>
    </row>
    <row r="1047" spans="10:10">
      <c r="J1047" s="164"/>
    </row>
    <row r="1048" spans="10:10">
      <c r="J1048" s="164"/>
    </row>
    <row r="1049" spans="10:10">
      <c r="J1049" s="164"/>
    </row>
    <row r="1050" spans="10:10">
      <c r="J1050" s="164"/>
    </row>
    <row r="1051" spans="10:10">
      <c r="J1051" s="164"/>
    </row>
    <row r="1052" spans="10:10">
      <c r="J1052" s="164"/>
    </row>
    <row r="1053" spans="10:10">
      <c r="J1053" s="164"/>
    </row>
    <row r="1054" spans="10:10">
      <c r="J1054" s="164"/>
    </row>
    <row r="1055" spans="10:10">
      <c r="J1055" s="164"/>
    </row>
    <row r="1056" spans="10:10">
      <c r="J1056" s="164"/>
    </row>
    <row r="1057" spans="10:10">
      <c r="J1057" s="164"/>
    </row>
    <row r="1058" spans="10:10">
      <c r="J1058" s="164"/>
    </row>
    <row r="1059" spans="10:10">
      <c r="J1059" s="164"/>
    </row>
    <row r="1060" spans="10:10">
      <c r="J1060" s="164"/>
    </row>
    <row r="1061" spans="10:10">
      <c r="J1061" s="164"/>
    </row>
    <row r="1062" spans="10:10">
      <c r="J1062" s="164"/>
    </row>
    <row r="1063" spans="10:10">
      <c r="J1063" s="164"/>
    </row>
    <row r="1064" spans="10:10">
      <c r="J1064" s="164"/>
    </row>
    <row r="1065" spans="10:10">
      <c r="J1065" s="164"/>
    </row>
    <row r="1066" spans="10:10">
      <c r="J1066" s="164"/>
    </row>
    <row r="1067" spans="10:10">
      <c r="J1067" s="164"/>
    </row>
    <row r="1068" spans="10:10">
      <c r="J1068" s="164"/>
    </row>
    <row r="1069" spans="10:10">
      <c r="J1069" s="164"/>
    </row>
    <row r="1070" spans="10:10">
      <c r="J1070" s="164"/>
    </row>
    <row r="1071" spans="10:10">
      <c r="J1071" s="164"/>
    </row>
    <row r="1072" spans="10:10">
      <c r="J1072" s="164"/>
    </row>
    <row r="1073" spans="10:10">
      <c r="J1073" s="164"/>
    </row>
    <row r="1074" spans="10:10">
      <c r="J1074" s="164"/>
    </row>
    <row r="1075" spans="10:10">
      <c r="J1075" s="164"/>
    </row>
    <row r="1076" spans="10:10">
      <c r="J1076" s="164"/>
    </row>
    <row r="1077" spans="10:10">
      <c r="J1077" s="164"/>
    </row>
    <row r="1078" spans="10:10">
      <c r="J1078" s="164"/>
    </row>
    <row r="1079" spans="10:10">
      <c r="J1079" s="164"/>
    </row>
    <row r="1080" spans="10:10">
      <c r="J1080" s="164"/>
    </row>
    <row r="1081" spans="10:10">
      <c r="J1081" s="164"/>
    </row>
    <row r="1082" spans="10:10">
      <c r="J1082" s="164"/>
    </row>
    <row r="1083" spans="10:10">
      <c r="J1083" s="164"/>
    </row>
    <row r="1084" spans="10:10">
      <c r="J1084" s="164"/>
    </row>
    <row r="1085" spans="10:10">
      <c r="J1085" s="164"/>
    </row>
    <row r="1086" spans="10:10">
      <c r="J1086" s="164"/>
    </row>
    <row r="1087" spans="10:10">
      <c r="J1087" s="164"/>
    </row>
    <row r="1088" spans="10:10">
      <c r="J1088" s="164"/>
    </row>
    <row r="1089" spans="10:10">
      <c r="J1089" s="164"/>
    </row>
    <row r="1090" spans="10:10">
      <c r="J1090" s="164"/>
    </row>
    <row r="1091" spans="10:10">
      <c r="J1091" s="164"/>
    </row>
    <row r="1092" spans="10:10">
      <c r="J1092" s="164"/>
    </row>
    <row r="1093" spans="10:10">
      <c r="J1093" s="164"/>
    </row>
    <row r="1094" spans="10:10">
      <c r="J1094" s="164"/>
    </row>
    <row r="1095" spans="10:10">
      <c r="J1095" s="164"/>
    </row>
    <row r="1096" spans="10:10">
      <c r="J1096" s="164"/>
    </row>
    <row r="1097" spans="10:10">
      <c r="J1097" s="164"/>
    </row>
    <row r="1098" spans="10:10">
      <c r="J1098" s="164"/>
    </row>
    <row r="1099" spans="10:10">
      <c r="J1099" s="164"/>
    </row>
    <row r="1100" spans="10:10">
      <c r="J1100" s="164"/>
    </row>
    <row r="1101" spans="10:10">
      <c r="J1101" s="164"/>
    </row>
    <row r="1102" spans="10:10">
      <c r="J1102" s="164"/>
    </row>
    <row r="1103" spans="10:10">
      <c r="J1103" s="164"/>
    </row>
    <row r="1104" spans="10:10">
      <c r="J1104" s="164"/>
    </row>
    <row r="1105" spans="10:10">
      <c r="J1105" s="164"/>
    </row>
    <row r="1106" spans="10:10">
      <c r="J1106" s="164"/>
    </row>
    <row r="1107" spans="10:10">
      <c r="J1107" s="164"/>
    </row>
    <row r="1108" spans="10:10">
      <c r="J1108" s="164"/>
    </row>
    <row r="1109" spans="10:10">
      <c r="J1109" s="164"/>
    </row>
    <row r="1110" spans="10:10">
      <c r="J1110" s="164"/>
    </row>
    <row r="1111" spans="10:10">
      <c r="J1111" s="164"/>
    </row>
    <row r="1112" spans="10:10">
      <c r="J1112" s="164"/>
    </row>
    <row r="1113" spans="10:10">
      <c r="J1113" s="164"/>
    </row>
    <row r="1114" spans="10:10">
      <c r="J1114" s="164"/>
    </row>
    <row r="1115" spans="10:10">
      <c r="J1115" s="164"/>
    </row>
    <row r="1116" spans="10:10">
      <c r="J1116" s="164"/>
    </row>
    <row r="1117" spans="10:10">
      <c r="J1117" s="164"/>
    </row>
    <row r="1118" spans="10:10">
      <c r="J1118" s="164"/>
    </row>
    <row r="1119" spans="10:10">
      <c r="J1119" s="164"/>
    </row>
    <row r="1120" spans="10:10">
      <c r="J1120" s="164"/>
    </row>
    <row r="1121" spans="10:10">
      <c r="J1121" s="164"/>
    </row>
    <row r="1122" spans="10:10">
      <c r="J1122" s="164"/>
    </row>
    <row r="1123" spans="10:10">
      <c r="J1123" s="164"/>
    </row>
    <row r="1124" spans="10:10">
      <c r="J1124" s="164"/>
    </row>
    <row r="1125" spans="10:10">
      <c r="J1125" s="164"/>
    </row>
    <row r="1126" spans="10:10">
      <c r="J1126" s="164"/>
    </row>
    <row r="1127" spans="10:10">
      <c r="J1127" s="164"/>
    </row>
    <row r="1128" spans="10:10">
      <c r="J1128" s="164"/>
    </row>
    <row r="1129" spans="10:10">
      <c r="J1129" s="164"/>
    </row>
    <row r="1130" spans="10:10">
      <c r="J1130" s="164"/>
    </row>
    <row r="1131" spans="10:10">
      <c r="J1131" s="164"/>
    </row>
    <row r="1132" spans="10:10">
      <c r="J1132" s="164"/>
    </row>
    <row r="1133" spans="10:10">
      <c r="J1133" s="164"/>
    </row>
    <row r="1134" spans="10:10">
      <c r="J1134" s="164"/>
    </row>
    <row r="1135" spans="10:10">
      <c r="J1135" s="164"/>
    </row>
    <row r="1136" spans="10:10">
      <c r="J1136" s="164"/>
    </row>
    <row r="1137" spans="10:10">
      <c r="J1137" s="164"/>
    </row>
    <row r="1138" spans="10:10">
      <c r="J1138" s="164"/>
    </row>
    <row r="1139" spans="10:10">
      <c r="J1139" s="164"/>
    </row>
    <row r="1140" spans="10:10">
      <c r="J1140" s="164"/>
    </row>
    <row r="1141" spans="10:10">
      <c r="J1141" s="164"/>
    </row>
    <row r="1142" spans="10:10">
      <c r="J1142" s="164"/>
    </row>
    <row r="1143" spans="10:10">
      <c r="J1143" s="164"/>
    </row>
    <row r="1144" spans="10:10">
      <c r="J1144" s="164"/>
    </row>
    <row r="1145" spans="10:10">
      <c r="J1145" s="164"/>
    </row>
    <row r="1146" spans="10:10">
      <c r="J1146" s="164"/>
    </row>
    <row r="1147" spans="10:10">
      <c r="J1147" s="164"/>
    </row>
    <row r="1148" spans="10:10">
      <c r="J1148" s="164"/>
    </row>
    <row r="1149" spans="10:10">
      <c r="J1149" s="164"/>
    </row>
    <row r="1150" spans="10:10">
      <c r="J1150" s="164"/>
    </row>
    <row r="1151" spans="10:10">
      <c r="J1151" s="164"/>
    </row>
    <row r="1152" spans="10:10">
      <c r="J1152" s="164"/>
    </row>
    <row r="1153" spans="10:10">
      <c r="J1153" s="164"/>
    </row>
    <row r="1154" spans="10:10">
      <c r="J1154" s="164"/>
    </row>
    <row r="1155" spans="10:10">
      <c r="J1155" s="164"/>
    </row>
    <row r="1156" spans="10:10">
      <c r="J1156" s="164"/>
    </row>
    <row r="1157" spans="10:10">
      <c r="J1157" s="164"/>
    </row>
    <row r="1158" spans="10:10">
      <c r="J1158" s="164"/>
    </row>
    <row r="1159" spans="10:10">
      <c r="J1159" s="164"/>
    </row>
    <row r="1160" spans="10:10">
      <c r="J1160" s="164"/>
    </row>
    <row r="1161" spans="10:10">
      <c r="J1161" s="164"/>
    </row>
    <row r="1162" spans="10:10">
      <c r="J1162" s="164"/>
    </row>
    <row r="1163" spans="10:10">
      <c r="J1163" s="164"/>
    </row>
    <row r="1164" spans="10:10">
      <c r="J1164" s="164"/>
    </row>
    <row r="1165" spans="10:10">
      <c r="J1165" s="164"/>
    </row>
    <row r="1166" spans="10:10">
      <c r="J1166" s="164"/>
    </row>
    <row r="1167" spans="10:10">
      <c r="J1167" s="164"/>
    </row>
    <row r="1168" spans="10:10">
      <c r="J1168" s="164"/>
    </row>
    <row r="1169" spans="10:10">
      <c r="J1169" s="164"/>
    </row>
    <row r="1170" spans="10:10">
      <c r="J1170" s="164"/>
    </row>
    <row r="1171" spans="10:10">
      <c r="J1171" s="164"/>
    </row>
    <row r="1172" spans="10:10">
      <c r="J1172" s="164"/>
    </row>
    <row r="1173" spans="10:10">
      <c r="J1173" s="164"/>
    </row>
    <row r="1174" spans="10:10">
      <c r="J1174" s="164"/>
    </row>
    <row r="1175" spans="10:10">
      <c r="J1175" s="164"/>
    </row>
    <row r="1176" spans="10:10">
      <c r="J1176" s="164"/>
    </row>
    <row r="1177" spans="10:10">
      <c r="J1177" s="164"/>
    </row>
    <row r="1178" spans="10:10">
      <c r="J1178" s="164"/>
    </row>
    <row r="1179" spans="10:10">
      <c r="J1179" s="164"/>
    </row>
    <row r="1180" spans="10:10">
      <c r="J1180" s="164"/>
    </row>
    <row r="1181" spans="10:10">
      <c r="J1181" s="164"/>
    </row>
    <row r="1182" spans="10:10">
      <c r="J1182" s="164"/>
    </row>
    <row r="1183" spans="10:10">
      <c r="J1183" s="164"/>
    </row>
    <row r="1184" spans="10:10">
      <c r="J1184" s="164"/>
    </row>
    <row r="1185" spans="10:10">
      <c r="J1185" s="164"/>
    </row>
    <row r="1186" spans="10:10">
      <c r="J1186" s="164"/>
    </row>
    <row r="1187" spans="10:10">
      <c r="J1187" s="164"/>
    </row>
    <row r="1188" spans="10:10">
      <c r="J1188" s="164"/>
    </row>
    <row r="1189" spans="10:10">
      <c r="J1189" s="164"/>
    </row>
    <row r="1190" spans="10:10">
      <c r="J1190" s="164"/>
    </row>
  </sheetData>
  <mergeCells count="1">
    <mergeCell ref="H10:I1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890B3-F248-457E-B7B6-0C2139D8DA73}">
  <dimension ref="A1:J379"/>
  <sheetViews>
    <sheetView workbookViewId="0">
      <selection sqref="A1:XFD1048576"/>
    </sheetView>
  </sheetViews>
  <sheetFormatPr defaultColWidth="9.109375" defaultRowHeight="13.2"/>
  <cols>
    <col min="1" max="1" width="10" style="1" customWidth="1"/>
    <col min="2" max="2" width="61.88671875" style="3" customWidth="1"/>
    <col min="3" max="3" width="12.5546875" style="1" customWidth="1"/>
    <col min="4" max="16384" width="9.109375" style="1"/>
  </cols>
  <sheetData>
    <row r="1" spans="1:10">
      <c r="A1" s="8"/>
      <c r="B1" s="8"/>
      <c r="C1" s="8"/>
    </row>
    <row r="2" spans="1:10">
      <c r="A2" s="8"/>
      <c r="B2" s="8"/>
      <c r="C2" s="8"/>
    </row>
    <row r="3" spans="1:10" ht="15.6">
      <c r="A3" s="8"/>
      <c r="B3" s="8"/>
      <c r="C3" s="8"/>
      <c r="D3" s="2"/>
    </row>
    <row r="4" spans="1:10">
      <c r="A4" s="8"/>
      <c r="B4" s="6"/>
      <c r="C4" s="6"/>
    </row>
    <row r="5" spans="1:10">
      <c r="A5" s="8"/>
      <c r="B5" s="6"/>
      <c r="C5" s="6"/>
    </row>
    <row r="6" spans="1:10">
      <c r="A6" s="8"/>
      <c r="B6" s="8"/>
      <c r="C6" s="8"/>
    </row>
    <row r="7" spans="1:10">
      <c r="A7" s="8"/>
      <c r="B7" s="8"/>
      <c r="C7" s="8"/>
    </row>
    <row r="8" spans="1:10">
      <c r="A8" s="8"/>
      <c r="B8" s="8"/>
      <c r="C8" s="8"/>
    </row>
    <row r="9" spans="1:10">
      <c r="A9" s="8"/>
      <c r="B9" s="8"/>
      <c r="C9" s="8"/>
    </row>
    <row r="10" spans="1:10" ht="21">
      <c r="A10" s="9"/>
      <c r="B10" s="256" t="s">
        <v>1431</v>
      </c>
      <c r="C10" s="9"/>
    </row>
    <row r="11" spans="1:10">
      <c r="A11" s="8"/>
      <c r="B11" s="11"/>
      <c r="C11" s="8"/>
    </row>
    <row r="12" spans="1:10">
      <c r="A12" s="8"/>
      <c r="B12" s="8"/>
      <c r="C12" s="8"/>
      <c r="D12" s="6"/>
      <c r="E12" s="6"/>
      <c r="F12" s="6"/>
      <c r="G12" s="6"/>
      <c r="H12" s="6"/>
      <c r="I12" s="6"/>
      <c r="J12" s="6"/>
    </row>
    <row r="13" spans="1:10">
      <c r="A13" s="8"/>
      <c r="B13" s="11" t="s">
        <v>921</v>
      </c>
      <c r="C13" s="8"/>
    </row>
    <row r="14" spans="1:10" ht="13.8">
      <c r="A14" s="8"/>
      <c r="B14" s="12" t="s">
        <v>922</v>
      </c>
      <c r="C14" s="8"/>
    </row>
    <row r="15" spans="1:10">
      <c r="A15" s="8"/>
      <c r="B15" s="8"/>
      <c r="C15" s="8"/>
    </row>
    <row r="16" spans="1:10" ht="13.8">
      <c r="A16" s="8"/>
      <c r="B16" s="12"/>
      <c r="C16" s="8"/>
    </row>
    <row r="17" spans="1:3">
      <c r="A17" s="8"/>
      <c r="B17" s="5" t="s">
        <v>923</v>
      </c>
      <c r="C17" s="8"/>
    </row>
    <row r="18" spans="1:3" ht="26.4">
      <c r="A18" s="8"/>
      <c r="B18" s="18" t="s">
        <v>1</v>
      </c>
      <c r="C18" s="8"/>
    </row>
    <row r="19" spans="1:3" ht="15.6">
      <c r="A19" s="8"/>
      <c r="B19" s="2"/>
      <c r="C19" s="8"/>
    </row>
    <row r="20" spans="1:3">
      <c r="A20" s="8"/>
      <c r="B20" s="11" t="s">
        <v>924</v>
      </c>
      <c r="C20" s="8"/>
    </row>
    <row r="21" spans="1:3">
      <c r="A21" s="8"/>
      <c r="B21" s="14" t="s">
        <v>925</v>
      </c>
      <c r="C21" s="8"/>
    </row>
    <row r="22" spans="1:3">
      <c r="A22" s="8"/>
      <c r="B22" s="14" t="s">
        <v>926</v>
      </c>
      <c r="C22" s="8"/>
    </row>
    <row r="23" spans="1:3">
      <c r="A23" s="8"/>
      <c r="B23" s="5"/>
      <c r="C23" s="8"/>
    </row>
    <row r="24" spans="1:3">
      <c r="A24" s="8"/>
      <c r="B24" s="5"/>
      <c r="C24" s="8"/>
    </row>
    <row r="25" spans="1:3">
      <c r="A25" s="8"/>
      <c r="B25" s="5" t="s">
        <v>927</v>
      </c>
      <c r="C25" s="8"/>
    </row>
    <row r="26" spans="1:3">
      <c r="A26" s="8"/>
      <c r="B26" s="13" t="s">
        <v>928</v>
      </c>
      <c r="C26" s="8"/>
    </row>
    <row r="27" spans="1:3" ht="13.8">
      <c r="A27" s="15"/>
      <c r="B27" s="13" t="s">
        <v>926</v>
      </c>
      <c r="C27" s="15"/>
    </row>
    <row r="28" spans="1:3">
      <c r="A28" s="11"/>
      <c r="B28" s="11"/>
      <c r="C28" s="11"/>
    </row>
    <row r="29" spans="1:3">
      <c r="A29" s="8"/>
      <c r="B29" s="5"/>
      <c r="C29" s="8"/>
    </row>
    <row r="30" spans="1:3">
      <c r="A30" s="8"/>
      <c r="B30" s="11" t="s">
        <v>929</v>
      </c>
      <c r="C30" s="8"/>
    </row>
    <row r="31" spans="1:3">
      <c r="A31" s="8"/>
      <c r="B31" s="7" t="s">
        <v>930</v>
      </c>
      <c r="C31" s="8"/>
    </row>
    <row r="32" spans="1:3">
      <c r="A32" s="8"/>
      <c r="B32" s="5" t="s">
        <v>931</v>
      </c>
      <c r="C32" s="8"/>
    </row>
    <row r="33" spans="1:4">
      <c r="A33" s="8"/>
      <c r="B33" s="11" t="s">
        <v>932</v>
      </c>
      <c r="C33" s="8"/>
    </row>
    <row r="34" spans="1:4">
      <c r="A34" s="8"/>
      <c r="B34" s="11" t="s">
        <v>933</v>
      </c>
      <c r="C34" s="8"/>
    </row>
    <row r="35" spans="1:4">
      <c r="A35" s="8"/>
      <c r="B35" s="11"/>
      <c r="C35" s="8"/>
    </row>
    <row r="36" spans="1:4">
      <c r="A36" s="8"/>
      <c r="B36" s="11"/>
      <c r="C36" s="8"/>
    </row>
    <row r="37" spans="1:4">
      <c r="A37" s="8"/>
      <c r="B37" s="8"/>
      <c r="C37" s="8"/>
    </row>
    <row r="38" spans="1:4">
      <c r="A38" s="8"/>
      <c r="B38" s="8"/>
      <c r="C38" s="8"/>
    </row>
    <row r="39" spans="1:4">
      <c r="A39" s="8"/>
      <c r="B39" s="8"/>
      <c r="C39" s="8"/>
    </row>
    <row r="40" spans="1:4">
      <c r="A40" s="8"/>
      <c r="B40" s="8"/>
      <c r="C40" s="8"/>
    </row>
    <row r="41" spans="1:4">
      <c r="A41" s="8"/>
      <c r="B41" s="11" t="s">
        <v>934</v>
      </c>
      <c r="C41" s="8"/>
    </row>
    <row r="42" spans="1:4" ht="12.75" customHeight="1">
      <c r="A42" s="8"/>
      <c r="B42" s="5" t="s">
        <v>935</v>
      </c>
      <c r="C42" s="8"/>
    </row>
    <row r="43" spans="1:4" ht="12.75" customHeight="1">
      <c r="A43" s="8"/>
      <c r="B43" s="11" t="s">
        <v>936</v>
      </c>
      <c r="C43" s="8"/>
    </row>
    <row r="44" spans="1:4">
      <c r="A44" s="8"/>
      <c r="B44" s="11" t="s">
        <v>937</v>
      </c>
      <c r="C44" s="8"/>
    </row>
    <row r="45" spans="1:4">
      <c r="A45" s="8"/>
      <c r="B45" s="11" t="s">
        <v>938</v>
      </c>
      <c r="C45" s="8"/>
    </row>
    <row r="46" spans="1:4" ht="15.6">
      <c r="A46" s="8"/>
      <c r="B46" s="11" t="s">
        <v>939</v>
      </c>
      <c r="C46" s="8"/>
      <c r="D46" s="2"/>
    </row>
    <row r="47" spans="1:4">
      <c r="A47" s="8"/>
      <c r="B47" s="11" t="s">
        <v>940</v>
      </c>
      <c r="C47" s="8"/>
    </row>
    <row r="48" spans="1:4">
      <c r="A48" s="8"/>
      <c r="B48" s="11"/>
      <c r="C48" s="8"/>
    </row>
    <row r="49" spans="1:10" ht="17.399999999999999">
      <c r="A49" s="8"/>
      <c r="B49" s="11"/>
      <c r="C49" s="16">
        <v>1</v>
      </c>
    </row>
    <row r="50" spans="1:10" ht="17.399999999999999">
      <c r="A50" s="8"/>
      <c r="B50" s="8"/>
      <c r="C50" s="16"/>
    </row>
    <row r="51" spans="1:10">
      <c r="A51" s="17"/>
      <c r="B51" s="17"/>
      <c r="C51" s="17"/>
    </row>
    <row r="52" spans="1:10">
      <c r="A52" s="8"/>
      <c r="B52" s="8"/>
      <c r="C52" s="8"/>
    </row>
    <row r="53" spans="1:10">
      <c r="A53" s="8"/>
      <c r="B53" s="8"/>
      <c r="C53" s="8"/>
    </row>
    <row r="54" spans="1:10">
      <c r="A54" s="8"/>
      <c r="B54" s="8"/>
      <c r="C54" s="8"/>
    </row>
    <row r="55" spans="1:10">
      <c r="A55" s="8"/>
      <c r="B55" s="8"/>
      <c r="C55" s="8"/>
    </row>
    <row r="56" spans="1:10">
      <c r="A56" s="8"/>
      <c r="B56" s="8"/>
      <c r="C56" s="8"/>
    </row>
    <row r="57" spans="1:10">
      <c r="A57" s="8"/>
      <c r="B57" s="6"/>
      <c r="C57" s="6"/>
      <c r="D57" s="4"/>
      <c r="E57" s="4"/>
      <c r="F57" s="4"/>
      <c r="G57" s="4"/>
      <c r="H57" s="4"/>
      <c r="I57" s="4"/>
      <c r="J57" s="4"/>
    </row>
    <row r="58" spans="1:10">
      <c r="A58" s="8"/>
      <c r="B58" s="6"/>
      <c r="C58" s="6"/>
    </row>
    <row r="59" spans="1:10">
      <c r="A59" s="8"/>
      <c r="B59" s="8"/>
      <c r="C59" s="8"/>
    </row>
    <row r="60" spans="1:10">
      <c r="A60" s="8"/>
      <c r="B60" s="8"/>
      <c r="C60" s="8"/>
    </row>
    <row r="61" spans="1:10">
      <c r="A61" s="8"/>
      <c r="B61" s="8"/>
      <c r="C61" s="8"/>
    </row>
    <row r="62" spans="1:10">
      <c r="A62" s="8"/>
      <c r="B62" s="8"/>
      <c r="C62" s="8"/>
      <c r="D62" s="6"/>
      <c r="E62" s="6"/>
      <c r="F62" s="6"/>
      <c r="G62" s="6"/>
      <c r="H62" s="6"/>
      <c r="I62" s="6"/>
      <c r="J62" s="6"/>
    </row>
    <row r="63" spans="1:10" ht="21">
      <c r="A63" s="9"/>
      <c r="B63" s="256" t="s">
        <v>1431</v>
      </c>
      <c r="C63" s="9"/>
      <c r="D63" s="6"/>
      <c r="E63" s="6"/>
      <c r="F63" s="6"/>
      <c r="G63" s="6"/>
      <c r="H63" s="6"/>
      <c r="I63" s="6"/>
      <c r="J63" s="6"/>
    </row>
    <row r="64" spans="1:10">
      <c r="A64" s="8"/>
      <c r="B64" s="11"/>
      <c r="C64" s="8"/>
      <c r="D64" s="6"/>
      <c r="E64" s="6"/>
      <c r="F64" s="6"/>
      <c r="G64" s="6"/>
      <c r="H64" s="6"/>
      <c r="I64" s="6"/>
      <c r="J64" s="6"/>
    </row>
    <row r="65" spans="1:3">
      <c r="A65" s="8"/>
      <c r="B65" s="8"/>
      <c r="C65" s="8"/>
    </row>
    <row r="66" spans="1:3">
      <c r="A66" s="8"/>
      <c r="B66" s="11" t="s">
        <v>921</v>
      </c>
      <c r="C66" s="8"/>
    </row>
    <row r="67" spans="1:3" ht="13.8">
      <c r="A67" s="8"/>
      <c r="B67" s="12" t="s">
        <v>922</v>
      </c>
      <c r="C67" s="8"/>
    </row>
    <row r="68" spans="1:3">
      <c r="A68" s="8"/>
      <c r="B68" s="8"/>
      <c r="C68" s="8"/>
    </row>
    <row r="69" spans="1:3">
      <c r="A69" s="8"/>
      <c r="B69" s="8"/>
      <c r="C69" s="8"/>
    </row>
    <row r="70" spans="1:3">
      <c r="A70" s="8"/>
      <c r="B70" s="5" t="s">
        <v>923</v>
      </c>
      <c r="C70" s="8"/>
    </row>
    <row r="71" spans="1:3" ht="24">
      <c r="A71" s="8"/>
      <c r="B71" s="13" t="s">
        <v>1</v>
      </c>
      <c r="C71" s="8"/>
    </row>
    <row r="72" spans="1:3" ht="15.6">
      <c r="A72" s="8"/>
      <c r="B72" s="2"/>
      <c r="C72" s="8"/>
    </row>
    <row r="73" spans="1:3">
      <c r="A73" s="8"/>
      <c r="B73" s="11" t="s">
        <v>924</v>
      </c>
      <c r="C73" s="8"/>
    </row>
    <row r="74" spans="1:3">
      <c r="A74" s="8"/>
      <c r="B74" s="14" t="s">
        <v>925</v>
      </c>
      <c r="C74" s="8"/>
    </row>
    <row r="75" spans="1:3">
      <c r="A75" s="8"/>
      <c r="B75" s="14" t="s">
        <v>926</v>
      </c>
      <c r="C75" s="8"/>
    </row>
    <row r="76" spans="1:3">
      <c r="A76" s="8"/>
      <c r="B76" s="5"/>
      <c r="C76" s="8"/>
    </row>
    <row r="77" spans="1:3">
      <c r="A77" s="8"/>
      <c r="B77" s="5"/>
      <c r="C77" s="8"/>
    </row>
    <row r="78" spans="1:3">
      <c r="A78" s="8"/>
      <c r="B78" s="5" t="s">
        <v>927</v>
      </c>
      <c r="C78" s="8"/>
    </row>
    <row r="79" spans="1:3">
      <c r="A79" s="8"/>
      <c r="B79" s="13" t="s">
        <v>928</v>
      </c>
      <c r="C79" s="8"/>
    </row>
    <row r="80" spans="1:3" ht="13.8">
      <c r="A80" s="15"/>
      <c r="B80" s="13" t="s">
        <v>926</v>
      </c>
      <c r="C80" s="15"/>
    </row>
    <row r="81" spans="1:3">
      <c r="A81" s="11"/>
      <c r="B81" s="11"/>
      <c r="C81" s="11"/>
    </row>
    <row r="82" spans="1:3">
      <c r="A82" s="8"/>
      <c r="B82" s="5"/>
      <c r="C82" s="8"/>
    </row>
    <row r="83" spans="1:3">
      <c r="A83" s="8"/>
      <c r="B83" s="11" t="s">
        <v>929</v>
      </c>
      <c r="C83" s="8"/>
    </row>
    <row r="84" spans="1:3">
      <c r="A84" s="8"/>
      <c r="B84" s="7" t="s">
        <v>930</v>
      </c>
      <c r="C84" s="8"/>
    </row>
    <row r="85" spans="1:3">
      <c r="A85" s="8"/>
      <c r="B85" s="5" t="s">
        <v>931</v>
      </c>
      <c r="C85" s="8"/>
    </row>
    <row r="86" spans="1:3">
      <c r="A86" s="8"/>
      <c r="B86" s="11" t="s">
        <v>932</v>
      </c>
      <c r="C86" s="8"/>
    </row>
    <row r="87" spans="1:3">
      <c r="A87" s="8"/>
      <c r="B87" s="11" t="s">
        <v>933</v>
      </c>
      <c r="C87" s="8"/>
    </row>
    <row r="88" spans="1:3">
      <c r="A88" s="8"/>
      <c r="B88" s="11"/>
      <c r="C88" s="8"/>
    </row>
    <row r="89" spans="1:3">
      <c r="A89" s="8"/>
      <c r="B89" s="11"/>
      <c r="C89" s="8"/>
    </row>
    <row r="90" spans="1:3">
      <c r="A90" s="8"/>
      <c r="B90" s="8"/>
      <c r="C90" s="8"/>
    </row>
    <row r="91" spans="1:3">
      <c r="A91" s="8"/>
      <c r="B91" s="8"/>
      <c r="C91" s="8"/>
    </row>
    <row r="92" spans="1:3">
      <c r="A92" s="8"/>
      <c r="B92" s="8"/>
      <c r="C92" s="8"/>
    </row>
    <row r="93" spans="1:3">
      <c r="A93" s="8"/>
      <c r="B93" s="8"/>
      <c r="C93" s="8"/>
    </row>
    <row r="94" spans="1:3">
      <c r="A94" s="8"/>
      <c r="B94" s="11" t="s">
        <v>934</v>
      </c>
      <c r="C94" s="8"/>
    </row>
    <row r="95" spans="1:3" ht="12.75" customHeight="1">
      <c r="A95" s="8"/>
      <c r="B95" s="5" t="s">
        <v>935</v>
      </c>
      <c r="C95" s="8"/>
    </row>
    <row r="96" spans="1:3" ht="12.75" customHeight="1">
      <c r="A96" s="8"/>
      <c r="B96" s="11" t="s">
        <v>936</v>
      </c>
      <c r="C96" s="8"/>
    </row>
    <row r="97" spans="1:10">
      <c r="A97" s="8"/>
      <c r="B97" s="11" t="s">
        <v>937</v>
      </c>
      <c r="C97" s="8"/>
    </row>
    <row r="98" spans="1:10">
      <c r="A98" s="8"/>
      <c r="B98" s="11" t="s">
        <v>938</v>
      </c>
      <c r="C98" s="8"/>
    </row>
    <row r="99" spans="1:10" ht="15.6">
      <c r="A99" s="8"/>
      <c r="B99" s="11" t="s">
        <v>939</v>
      </c>
      <c r="C99" s="8"/>
      <c r="D99" s="2"/>
    </row>
    <row r="100" spans="1:10">
      <c r="A100" s="8"/>
      <c r="B100" s="11" t="s">
        <v>940</v>
      </c>
      <c r="C100" s="8"/>
    </row>
    <row r="101" spans="1:10">
      <c r="A101" s="8"/>
      <c r="B101" s="11"/>
      <c r="C101" s="8"/>
    </row>
    <row r="102" spans="1:10" ht="17.399999999999999">
      <c r="A102" s="8"/>
      <c r="B102" s="11"/>
      <c r="C102" s="16">
        <v>2</v>
      </c>
    </row>
    <row r="103" spans="1:10" ht="17.399999999999999">
      <c r="A103" s="8"/>
      <c r="B103" s="8"/>
      <c r="C103" s="16"/>
    </row>
    <row r="104" spans="1:10">
      <c r="A104" s="17"/>
      <c r="B104" s="17"/>
      <c r="C104" s="17"/>
    </row>
    <row r="105" spans="1:10">
      <c r="A105" s="8"/>
      <c r="B105" s="8"/>
      <c r="C105" s="8"/>
    </row>
    <row r="106" spans="1:10">
      <c r="A106" s="8"/>
      <c r="B106" s="8"/>
      <c r="C106" s="8"/>
    </row>
    <row r="107" spans="1:10">
      <c r="A107" s="8"/>
      <c r="B107" s="8"/>
      <c r="C107" s="8"/>
    </row>
    <row r="108" spans="1:10">
      <c r="A108" s="8"/>
      <c r="B108" s="8"/>
      <c r="C108" s="8"/>
    </row>
    <row r="109" spans="1:10">
      <c r="A109" s="8"/>
      <c r="B109" s="8"/>
      <c r="C109" s="8"/>
    </row>
    <row r="110" spans="1:10">
      <c r="A110" s="8"/>
      <c r="B110" s="6"/>
      <c r="C110" s="6"/>
      <c r="D110" s="4"/>
      <c r="E110" s="4"/>
      <c r="F110" s="4"/>
      <c r="G110" s="4"/>
      <c r="H110" s="4"/>
      <c r="I110" s="4"/>
      <c r="J110" s="4"/>
    </row>
    <row r="111" spans="1:10">
      <c r="A111" s="8"/>
      <c r="B111" s="6"/>
      <c r="C111" s="6"/>
    </row>
    <row r="112" spans="1:10">
      <c r="A112" s="8"/>
      <c r="B112" s="8"/>
      <c r="C112" s="8"/>
    </row>
    <row r="113" spans="1:10">
      <c r="A113" s="8"/>
      <c r="B113" s="8"/>
      <c r="C113" s="8"/>
    </row>
    <row r="114" spans="1:10">
      <c r="A114" s="8"/>
      <c r="B114" s="8"/>
      <c r="C114" s="8"/>
    </row>
    <row r="115" spans="1:10">
      <c r="A115" s="8"/>
      <c r="B115" s="8"/>
      <c r="C115" s="8"/>
      <c r="D115" s="6"/>
      <c r="E115" s="6"/>
      <c r="F115" s="6"/>
      <c r="G115" s="6"/>
      <c r="H115" s="6"/>
      <c r="I115" s="6"/>
      <c r="J115" s="6"/>
    </row>
    <row r="116" spans="1:10" ht="21">
      <c r="A116" s="9"/>
      <c r="B116" s="256" t="s">
        <v>1431</v>
      </c>
      <c r="C116" s="9"/>
      <c r="D116" s="6"/>
      <c r="E116" s="6"/>
      <c r="F116" s="6"/>
      <c r="G116" s="6"/>
      <c r="H116" s="6"/>
      <c r="I116" s="6"/>
      <c r="J116" s="6"/>
    </row>
    <row r="117" spans="1:10">
      <c r="A117" s="8"/>
      <c r="B117" s="11"/>
      <c r="C117" s="8"/>
      <c r="D117" s="6"/>
      <c r="E117" s="6"/>
      <c r="F117" s="6"/>
      <c r="G117" s="6"/>
      <c r="H117" s="6"/>
      <c r="I117" s="6"/>
      <c r="J117" s="6"/>
    </row>
    <row r="118" spans="1:10">
      <c r="A118" s="8"/>
      <c r="B118" s="8"/>
      <c r="C118" s="8"/>
    </row>
    <row r="119" spans="1:10">
      <c r="A119" s="8"/>
      <c r="B119" s="11" t="s">
        <v>921</v>
      </c>
      <c r="C119" s="8"/>
    </row>
    <row r="120" spans="1:10" ht="13.8">
      <c r="A120" s="8"/>
      <c r="B120" s="12" t="s">
        <v>922</v>
      </c>
      <c r="C120" s="8"/>
    </row>
    <row r="121" spans="1:10">
      <c r="A121" s="8"/>
      <c r="B121" s="8"/>
      <c r="C121" s="8"/>
    </row>
    <row r="122" spans="1:10">
      <c r="A122" s="8"/>
      <c r="B122" s="8"/>
      <c r="C122" s="8"/>
    </row>
    <row r="123" spans="1:10">
      <c r="A123" s="8"/>
      <c r="B123" s="5" t="s">
        <v>923</v>
      </c>
      <c r="C123" s="8"/>
    </row>
    <row r="124" spans="1:10" ht="24">
      <c r="A124" s="8"/>
      <c r="B124" s="13" t="s">
        <v>942</v>
      </c>
      <c r="C124" s="8"/>
    </row>
    <row r="125" spans="1:10" ht="15.6">
      <c r="A125" s="8"/>
      <c r="B125" s="2"/>
      <c r="C125" s="8"/>
    </row>
    <row r="126" spans="1:10">
      <c r="A126" s="8"/>
      <c r="B126" s="11" t="s">
        <v>924</v>
      </c>
      <c r="C126" s="8"/>
    </row>
    <row r="127" spans="1:10">
      <c r="A127" s="8"/>
      <c r="B127" s="14" t="s">
        <v>925</v>
      </c>
      <c r="C127" s="8"/>
    </row>
    <row r="128" spans="1:10">
      <c r="A128" s="8"/>
      <c r="B128" s="14" t="s">
        <v>926</v>
      </c>
      <c r="C128" s="8"/>
    </row>
    <row r="129" spans="1:3">
      <c r="A129" s="8"/>
      <c r="B129" s="5"/>
      <c r="C129" s="8"/>
    </row>
    <row r="130" spans="1:3">
      <c r="A130" s="8"/>
      <c r="B130" s="5"/>
      <c r="C130" s="8"/>
    </row>
    <row r="131" spans="1:3">
      <c r="A131" s="8"/>
      <c r="B131" s="5" t="s">
        <v>927</v>
      </c>
      <c r="C131" s="8"/>
    </row>
    <row r="132" spans="1:3">
      <c r="A132" s="8"/>
      <c r="B132" s="13" t="s">
        <v>928</v>
      </c>
      <c r="C132" s="8"/>
    </row>
    <row r="133" spans="1:3" ht="13.8">
      <c r="A133" s="15"/>
      <c r="B133" s="13" t="s">
        <v>926</v>
      </c>
      <c r="C133" s="15"/>
    </row>
    <row r="134" spans="1:3">
      <c r="A134" s="11"/>
      <c r="B134" s="11"/>
      <c r="C134" s="11"/>
    </row>
    <row r="135" spans="1:3">
      <c r="A135" s="8"/>
      <c r="B135" s="5"/>
      <c r="C135" s="8"/>
    </row>
    <row r="136" spans="1:3">
      <c r="A136" s="8"/>
      <c r="B136" s="11" t="s">
        <v>929</v>
      </c>
      <c r="C136" s="8"/>
    </row>
    <row r="137" spans="1:3">
      <c r="A137" s="8"/>
      <c r="B137" s="7" t="s">
        <v>930</v>
      </c>
      <c r="C137" s="8"/>
    </row>
    <row r="138" spans="1:3">
      <c r="A138" s="8"/>
      <c r="B138" s="5" t="s">
        <v>931</v>
      </c>
      <c r="C138" s="8"/>
    </row>
    <row r="139" spans="1:3">
      <c r="A139" s="8"/>
      <c r="B139" s="11" t="s">
        <v>932</v>
      </c>
      <c r="C139" s="8"/>
    </row>
    <row r="140" spans="1:3">
      <c r="A140" s="8"/>
      <c r="B140" s="11" t="s">
        <v>933</v>
      </c>
      <c r="C140" s="8"/>
    </row>
    <row r="141" spans="1:3">
      <c r="A141" s="8"/>
      <c r="B141" s="11"/>
      <c r="C141" s="8"/>
    </row>
    <row r="142" spans="1:3">
      <c r="A142" s="8"/>
      <c r="B142" s="11"/>
      <c r="C142" s="8"/>
    </row>
    <row r="143" spans="1:3">
      <c r="A143" s="8"/>
      <c r="B143" s="8"/>
      <c r="C143" s="8"/>
    </row>
    <row r="144" spans="1:3">
      <c r="A144" s="8"/>
      <c r="B144" s="8"/>
      <c r="C144" s="8"/>
    </row>
    <row r="145" spans="1:4">
      <c r="A145" s="8"/>
      <c r="B145" s="8"/>
      <c r="C145" s="8"/>
    </row>
    <row r="146" spans="1:4">
      <c r="A146" s="8"/>
      <c r="B146" s="8"/>
      <c r="C146" s="8"/>
    </row>
    <row r="147" spans="1:4">
      <c r="A147" s="8"/>
      <c r="B147" s="11" t="s">
        <v>934</v>
      </c>
      <c r="C147" s="8"/>
    </row>
    <row r="148" spans="1:4" ht="12.75" customHeight="1">
      <c r="A148" s="8"/>
      <c r="B148" s="5" t="s">
        <v>935</v>
      </c>
      <c r="C148" s="8"/>
    </row>
    <row r="149" spans="1:4" ht="12.75" customHeight="1">
      <c r="A149" s="8"/>
      <c r="B149" s="11" t="s">
        <v>936</v>
      </c>
      <c r="C149" s="8"/>
    </row>
    <row r="150" spans="1:4">
      <c r="A150" s="8"/>
      <c r="B150" s="11" t="s">
        <v>937</v>
      </c>
      <c r="C150" s="8"/>
    </row>
    <row r="151" spans="1:4">
      <c r="A151" s="8"/>
      <c r="B151" s="11" t="s">
        <v>938</v>
      </c>
      <c r="C151" s="8"/>
    </row>
    <row r="152" spans="1:4" ht="15.6">
      <c r="A152" s="8"/>
      <c r="B152" s="11" t="s">
        <v>939</v>
      </c>
      <c r="C152" s="8"/>
      <c r="D152" s="2"/>
    </row>
    <row r="153" spans="1:4">
      <c r="A153" s="8"/>
      <c r="B153" s="11" t="s">
        <v>940</v>
      </c>
      <c r="C153" s="8"/>
    </row>
    <row r="154" spans="1:4">
      <c r="A154" s="8"/>
      <c r="B154" s="11"/>
      <c r="C154" s="8"/>
    </row>
    <row r="155" spans="1:4" ht="17.399999999999999">
      <c r="A155" s="8"/>
      <c r="B155" s="11"/>
      <c r="C155" s="16">
        <v>3</v>
      </c>
    </row>
    <row r="156" spans="1:4" ht="17.399999999999999">
      <c r="A156" s="8"/>
      <c r="B156" s="8"/>
      <c r="C156" s="16"/>
    </row>
    <row r="157" spans="1:4">
      <c r="A157" s="17"/>
      <c r="B157" s="17"/>
      <c r="C157" s="17"/>
    </row>
    <row r="158" spans="1:4">
      <c r="A158" s="8"/>
      <c r="B158" s="8"/>
      <c r="C158" s="8"/>
    </row>
    <row r="159" spans="1:4">
      <c r="A159" s="8"/>
      <c r="B159" s="8"/>
      <c r="C159" s="8"/>
    </row>
    <row r="160" spans="1:4">
      <c r="A160" s="8"/>
      <c r="B160" s="8"/>
      <c r="C160" s="8"/>
    </row>
    <row r="161" spans="1:10">
      <c r="A161" s="8"/>
      <c r="B161" s="8"/>
      <c r="C161" s="8"/>
    </row>
    <row r="162" spans="1:10">
      <c r="A162" s="8"/>
      <c r="B162" s="8"/>
      <c r="C162" s="8"/>
    </row>
    <row r="163" spans="1:10">
      <c r="A163" s="8"/>
      <c r="B163" s="6"/>
      <c r="C163" s="6"/>
      <c r="D163" s="4"/>
      <c r="E163" s="4"/>
      <c r="F163" s="4"/>
      <c r="G163" s="4"/>
      <c r="H163" s="4"/>
      <c r="I163" s="4"/>
      <c r="J163" s="4"/>
    </row>
    <row r="164" spans="1:10">
      <c r="A164" s="8"/>
      <c r="B164" s="6"/>
      <c r="C164" s="6"/>
    </row>
    <row r="165" spans="1:10">
      <c r="A165" s="8"/>
      <c r="B165" s="8"/>
      <c r="C165" s="8"/>
    </row>
    <row r="166" spans="1:10">
      <c r="A166" s="8"/>
      <c r="B166" s="8"/>
      <c r="C166" s="8"/>
    </row>
    <row r="167" spans="1:10">
      <c r="A167" s="8"/>
      <c r="B167" s="8"/>
      <c r="C167" s="8"/>
    </row>
    <row r="168" spans="1:10">
      <c r="A168" s="8"/>
      <c r="B168" s="8"/>
      <c r="C168" s="8"/>
      <c r="D168" s="6"/>
      <c r="E168" s="6"/>
      <c r="F168" s="6"/>
      <c r="G168" s="6"/>
      <c r="H168" s="6"/>
      <c r="I168" s="6"/>
      <c r="J168" s="6"/>
    </row>
    <row r="169" spans="1:10" ht="21">
      <c r="A169" s="9"/>
      <c r="B169" s="256" t="s">
        <v>1431</v>
      </c>
      <c r="C169" s="9"/>
      <c r="D169" s="6"/>
      <c r="E169" s="6"/>
      <c r="F169" s="6"/>
      <c r="G169" s="6"/>
      <c r="H169" s="6"/>
      <c r="I169" s="6"/>
      <c r="J169" s="6"/>
    </row>
    <row r="170" spans="1:10">
      <c r="A170" s="8"/>
      <c r="B170" s="11"/>
      <c r="C170" s="8"/>
      <c r="D170" s="6"/>
      <c r="E170" s="6"/>
      <c r="F170" s="6"/>
      <c r="G170" s="6"/>
      <c r="H170" s="6"/>
      <c r="I170" s="6"/>
      <c r="J170" s="6"/>
    </row>
    <row r="171" spans="1:10">
      <c r="A171" s="8"/>
      <c r="B171" s="8"/>
      <c r="C171" s="8"/>
    </row>
    <row r="172" spans="1:10">
      <c r="A172" s="8"/>
      <c r="B172" s="11" t="s">
        <v>921</v>
      </c>
      <c r="C172" s="8"/>
    </row>
    <row r="173" spans="1:10" ht="13.8">
      <c r="A173" s="8"/>
      <c r="B173" s="12" t="s">
        <v>922</v>
      </c>
      <c r="C173" s="8"/>
    </row>
    <row r="174" spans="1:10">
      <c r="A174" s="8"/>
      <c r="B174" s="8"/>
      <c r="C174" s="8"/>
    </row>
    <row r="175" spans="1:10">
      <c r="A175" s="8"/>
      <c r="B175" s="8"/>
      <c r="C175" s="8"/>
    </row>
    <row r="176" spans="1:10">
      <c r="A176" s="8"/>
      <c r="B176" s="5" t="s">
        <v>923</v>
      </c>
      <c r="C176" s="8"/>
    </row>
    <row r="177" spans="1:3" ht="24">
      <c r="A177" s="8"/>
      <c r="B177" s="13" t="s">
        <v>942</v>
      </c>
      <c r="C177" s="8"/>
    </row>
    <row r="178" spans="1:3" ht="15.6">
      <c r="A178" s="8"/>
      <c r="B178" s="2"/>
      <c r="C178" s="8"/>
    </row>
    <row r="179" spans="1:3">
      <c r="A179" s="8"/>
      <c r="B179" s="11" t="s">
        <v>924</v>
      </c>
      <c r="C179" s="8"/>
    </row>
    <row r="180" spans="1:3">
      <c r="A180" s="8"/>
      <c r="B180" s="14" t="s">
        <v>925</v>
      </c>
      <c r="C180" s="8"/>
    </row>
    <row r="181" spans="1:3">
      <c r="A181" s="8"/>
      <c r="B181" s="14" t="s">
        <v>926</v>
      </c>
      <c r="C181" s="8"/>
    </row>
    <row r="182" spans="1:3">
      <c r="A182" s="8"/>
      <c r="B182" s="5"/>
      <c r="C182" s="8"/>
    </row>
    <row r="183" spans="1:3">
      <c r="A183" s="8"/>
      <c r="B183" s="5"/>
      <c r="C183" s="8"/>
    </row>
    <row r="184" spans="1:3">
      <c r="A184" s="8"/>
      <c r="B184" s="5" t="s">
        <v>927</v>
      </c>
      <c r="C184" s="8"/>
    </row>
    <row r="185" spans="1:3">
      <c r="A185" s="8"/>
      <c r="B185" s="13" t="s">
        <v>928</v>
      </c>
      <c r="C185" s="8"/>
    </row>
    <row r="186" spans="1:3" ht="13.8">
      <c r="A186" s="15"/>
      <c r="B186" s="13" t="s">
        <v>926</v>
      </c>
      <c r="C186" s="15"/>
    </row>
    <row r="187" spans="1:3">
      <c r="A187" s="11"/>
      <c r="B187" s="11"/>
      <c r="C187" s="11"/>
    </row>
    <row r="188" spans="1:3">
      <c r="A188" s="8"/>
      <c r="B188" s="5"/>
      <c r="C188" s="8"/>
    </row>
    <row r="189" spans="1:3">
      <c r="A189" s="8"/>
      <c r="B189" s="11" t="s">
        <v>929</v>
      </c>
      <c r="C189" s="8"/>
    </row>
    <row r="190" spans="1:3">
      <c r="A190" s="8"/>
      <c r="B190" s="7" t="s">
        <v>930</v>
      </c>
      <c r="C190" s="8"/>
    </row>
    <row r="191" spans="1:3">
      <c r="A191" s="8"/>
      <c r="B191" s="5" t="s">
        <v>931</v>
      </c>
      <c r="C191" s="8"/>
    </row>
    <row r="192" spans="1:3">
      <c r="A192" s="8"/>
      <c r="B192" s="11" t="s">
        <v>932</v>
      </c>
      <c r="C192" s="8"/>
    </row>
    <row r="193" spans="1:4">
      <c r="A193" s="8"/>
      <c r="B193" s="11" t="s">
        <v>933</v>
      </c>
      <c r="C193" s="8"/>
    </row>
    <row r="194" spans="1:4">
      <c r="A194" s="8"/>
      <c r="B194" s="11"/>
      <c r="C194" s="8"/>
    </row>
    <row r="195" spans="1:4">
      <c r="A195" s="8"/>
      <c r="B195" s="11"/>
      <c r="C195" s="8"/>
    </row>
    <row r="196" spans="1:4">
      <c r="A196" s="8"/>
      <c r="B196" s="8"/>
      <c r="C196" s="8"/>
    </row>
    <row r="197" spans="1:4">
      <c r="A197" s="8"/>
      <c r="B197" s="8"/>
      <c r="C197" s="8"/>
    </row>
    <row r="198" spans="1:4">
      <c r="A198" s="8"/>
      <c r="B198" s="8"/>
      <c r="C198" s="8"/>
    </row>
    <row r="199" spans="1:4">
      <c r="A199" s="8"/>
      <c r="B199" s="8"/>
      <c r="C199" s="8"/>
    </row>
    <row r="200" spans="1:4">
      <c r="A200" s="8"/>
      <c r="B200" s="11" t="s">
        <v>934</v>
      </c>
      <c r="C200" s="8"/>
    </row>
    <row r="201" spans="1:4" ht="12.75" customHeight="1">
      <c r="A201" s="8"/>
      <c r="B201" s="5" t="s">
        <v>935</v>
      </c>
      <c r="C201" s="8"/>
    </row>
    <row r="202" spans="1:4" ht="12.75" customHeight="1">
      <c r="A202" s="8"/>
      <c r="B202" s="11" t="s">
        <v>936</v>
      </c>
      <c r="C202" s="8"/>
    </row>
    <row r="203" spans="1:4">
      <c r="A203" s="8"/>
      <c r="B203" s="11" t="s">
        <v>937</v>
      </c>
      <c r="C203" s="8"/>
    </row>
    <row r="204" spans="1:4">
      <c r="A204" s="8"/>
      <c r="B204" s="11" t="s">
        <v>938</v>
      </c>
      <c r="C204" s="8"/>
    </row>
    <row r="205" spans="1:4" ht="15.6">
      <c r="A205" s="8"/>
      <c r="B205" s="11" t="s">
        <v>939</v>
      </c>
      <c r="C205" s="8"/>
      <c r="D205" s="2"/>
    </row>
    <row r="206" spans="1:4">
      <c r="A206" s="8"/>
      <c r="B206" s="11" t="s">
        <v>940</v>
      </c>
      <c r="C206" s="8"/>
    </row>
    <row r="207" spans="1:4">
      <c r="A207" s="8"/>
      <c r="B207" s="11"/>
      <c r="C207" s="8"/>
    </row>
    <row r="208" spans="1:4" ht="17.399999999999999">
      <c r="A208" s="8"/>
      <c r="B208" s="11"/>
      <c r="C208" s="16">
        <v>4</v>
      </c>
    </row>
    <row r="209" spans="1:10" ht="17.399999999999999">
      <c r="A209" s="8"/>
      <c r="B209" s="8"/>
      <c r="C209" s="16"/>
    </row>
    <row r="210" spans="1:10">
      <c r="A210" s="17"/>
      <c r="B210" s="17"/>
      <c r="C210" s="17"/>
    </row>
    <row r="211" spans="1:10">
      <c r="A211" s="8"/>
      <c r="B211" s="8"/>
      <c r="C211" s="8"/>
    </row>
    <row r="212" spans="1:10" ht="12.6">
      <c r="A212" s="276"/>
      <c r="B212" s="276"/>
      <c r="C212" s="276"/>
    </row>
    <row r="213" spans="1:10" ht="12.6">
      <c r="A213" s="276"/>
      <c r="B213" s="276"/>
      <c r="C213" s="276"/>
    </row>
    <row r="214" spans="1:10">
      <c r="A214" s="8"/>
      <c r="B214" s="8"/>
      <c r="C214" s="8"/>
    </row>
    <row r="215" spans="1:10">
      <c r="A215" s="8"/>
      <c r="B215" s="8"/>
      <c r="C215" s="8"/>
    </row>
    <row r="216" spans="1:10">
      <c r="A216" s="8"/>
      <c r="B216" s="6"/>
      <c r="C216" s="6"/>
      <c r="D216" s="4"/>
      <c r="E216" s="4"/>
      <c r="F216" s="4"/>
      <c r="G216" s="4"/>
      <c r="H216" s="4"/>
      <c r="I216" s="4"/>
      <c r="J216" s="4"/>
    </row>
    <row r="217" spans="1:10">
      <c r="A217" s="8"/>
      <c r="B217" s="6"/>
      <c r="C217" s="6"/>
    </row>
    <row r="218" spans="1:10">
      <c r="A218" s="8"/>
      <c r="B218" s="8"/>
      <c r="C218" s="8"/>
    </row>
    <row r="219" spans="1:10">
      <c r="A219" s="8"/>
      <c r="B219" s="8"/>
      <c r="C219" s="8"/>
    </row>
    <row r="220" spans="1:10">
      <c r="A220" s="8"/>
      <c r="B220" s="8"/>
      <c r="C220" s="8"/>
    </row>
    <row r="221" spans="1:10">
      <c r="A221" s="8"/>
      <c r="B221" s="8"/>
      <c r="C221" s="8"/>
      <c r="D221" s="6"/>
      <c r="E221" s="6"/>
      <c r="F221" s="6"/>
      <c r="G221" s="6"/>
      <c r="H221" s="6"/>
      <c r="I221" s="6"/>
      <c r="J221" s="6"/>
    </row>
    <row r="222" spans="1:10" ht="21">
      <c r="A222" s="9"/>
      <c r="B222" s="256" t="s">
        <v>1431</v>
      </c>
      <c r="C222" s="9"/>
      <c r="D222" s="6"/>
      <c r="E222" s="6"/>
      <c r="F222" s="6"/>
      <c r="G222" s="6"/>
      <c r="H222" s="6"/>
      <c r="I222" s="6"/>
      <c r="J222" s="6"/>
    </row>
    <row r="223" spans="1:10">
      <c r="A223" s="8"/>
      <c r="B223" s="11"/>
      <c r="C223" s="8"/>
      <c r="D223" s="6"/>
      <c r="E223" s="6"/>
      <c r="F223" s="6"/>
      <c r="G223" s="6"/>
      <c r="H223" s="6"/>
      <c r="I223" s="6"/>
      <c r="J223" s="6"/>
    </row>
    <row r="224" spans="1:10">
      <c r="A224" s="8"/>
      <c r="B224" s="8"/>
      <c r="C224" s="8"/>
    </row>
    <row r="225" spans="1:3">
      <c r="A225" s="8"/>
      <c r="B225" s="11" t="s">
        <v>921</v>
      </c>
      <c r="C225" s="8"/>
    </row>
    <row r="226" spans="1:3" ht="13.8">
      <c r="A226" s="8"/>
      <c r="B226" s="12" t="s">
        <v>922</v>
      </c>
      <c r="C226" s="8"/>
    </row>
    <row r="227" spans="1:3">
      <c r="A227" s="8"/>
      <c r="B227" s="8"/>
      <c r="C227" s="8"/>
    </row>
    <row r="228" spans="1:3">
      <c r="A228" s="8"/>
      <c r="B228" s="8"/>
      <c r="C228" s="8"/>
    </row>
    <row r="229" spans="1:3">
      <c r="A229" s="8"/>
      <c r="B229" s="5" t="s">
        <v>923</v>
      </c>
      <c r="C229" s="8"/>
    </row>
    <row r="230" spans="1:3" ht="24">
      <c r="A230" s="8"/>
      <c r="B230" s="13" t="s">
        <v>1</v>
      </c>
      <c r="C230" s="8"/>
    </row>
    <row r="231" spans="1:3" ht="15.6">
      <c r="A231" s="8"/>
      <c r="B231" s="2"/>
      <c r="C231" s="8"/>
    </row>
    <row r="232" spans="1:3">
      <c r="A232" s="8"/>
      <c r="B232" s="11" t="s">
        <v>924</v>
      </c>
      <c r="C232" s="8"/>
    </row>
    <row r="233" spans="1:3">
      <c r="A233" s="8"/>
      <c r="B233" s="14" t="s">
        <v>925</v>
      </c>
      <c r="C233" s="8"/>
    </row>
    <row r="234" spans="1:3">
      <c r="A234" s="8"/>
      <c r="B234" s="14" t="s">
        <v>926</v>
      </c>
      <c r="C234" s="8"/>
    </row>
    <row r="235" spans="1:3">
      <c r="A235" s="8"/>
      <c r="B235" s="5"/>
      <c r="C235" s="8"/>
    </row>
    <row r="236" spans="1:3">
      <c r="A236" s="8"/>
      <c r="B236" s="5"/>
      <c r="C236" s="8"/>
    </row>
    <row r="237" spans="1:3">
      <c r="A237" s="8"/>
      <c r="B237" s="5" t="s">
        <v>927</v>
      </c>
      <c r="C237" s="8"/>
    </row>
    <row r="238" spans="1:3">
      <c r="A238" s="8"/>
      <c r="B238" s="13" t="s">
        <v>928</v>
      </c>
      <c r="C238" s="8"/>
    </row>
    <row r="239" spans="1:3" ht="13.8">
      <c r="A239" s="15"/>
      <c r="B239" s="13" t="s">
        <v>926</v>
      </c>
      <c r="C239" s="15"/>
    </row>
    <row r="240" spans="1:3">
      <c r="A240" s="11"/>
      <c r="B240" s="11"/>
      <c r="C240" s="11"/>
    </row>
    <row r="241" spans="1:3">
      <c r="A241" s="8"/>
      <c r="B241" s="5"/>
      <c r="C241" s="8"/>
    </row>
    <row r="242" spans="1:3">
      <c r="A242" s="8"/>
      <c r="B242" s="11" t="s">
        <v>929</v>
      </c>
      <c r="C242" s="8"/>
    </row>
    <row r="243" spans="1:3">
      <c r="A243" s="8"/>
      <c r="B243" s="7" t="s">
        <v>930</v>
      </c>
      <c r="C243" s="8"/>
    </row>
    <row r="244" spans="1:3">
      <c r="A244" s="8"/>
      <c r="B244" s="5" t="s">
        <v>931</v>
      </c>
      <c r="C244" s="8"/>
    </row>
    <row r="245" spans="1:3">
      <c r="A245" s="8"/>
      <c r="B245" s="11" t="s">
        <v>932</v>
      </c>
      <c r="C245" s="8"/>
    </row>
    <row r="246" spans="1:3">
      <c r="A246" s="8"/>
      <c r="B246" s="11" t="s">
        <v>933</v>
      </c>
      <c r="C246" s="8"/>
    </row>
    <row r="247" spans="1:3">
      <c r="A247" s="8"/>
      <c r="B247" s="11"/>
      <c r="C247" s="8"/>
    </row>
    <row r="248" spans="1:3">
      <c r="A248" s="8"/>
      <c r="B248" s="11"/>
      <c r="C248" s="8"/>
    </row>
    <row r="249" spans="1:3">
      <c r="A249" s="8"/>
      <c r="B249" s="8"/>
      <c r="C249" s="8"/>
    </row>
    <row r="250" spans="1:3">
      <c r="A250" s="8"/>
      <c r="B250" s="8"/>
      <c r="C250" s="8"/>
    </row>
    <row r="251" spans="1:3">
      <c r="A251" s="8"/>
      <c r="B251" s="8"/>
      <c r="C251" s="8"/>
    </row>
    <row r="252" spans="1:3">
      <c r="A252" s="8"/>
      <c r="B252" s="8"/>
      <c r="C252" s="8"/>
    </row>
    <row r="253" spans="1:3">
      <c r="A253" s="8"/>
      <c r="B253" s="11" t="s">
        <v>934</v>
      </c>
      <c r="C253" s="8"/>
    </row>
    <row r="254" spans="1:3" ht="12.75" customHeight="1">
      <c r="A254" s="8"/>
      <c r="B254" s="5" t="s">
        <v>935</v>
      </c>
      <c r="C254" s="8"/>
    </row>
    <row r="255" spans="1:3" ht="12.75" customHeight="1">
      <c r="A255" s="8"/>
      <c r="B255" s="11" t="s">
        <v>936</v>
      </c>
      <c r="C255" s="8"/>
    </row>
    <row r="256" spans="1:3">
      <c r="A256" s="8"/>
      <c r="B256" s="11" t="s">
        <v>937</v>
      </c>
      <c r="C256" s="8"/>
    </row>
    <row r="257" spans="1:3">
      <c r="A257" s="8"/>
      <c r="B257" s="11" t="s">
        <v>938</v>
      </c>
      <c r="C257" s="8"/>
    </row>
    <row r="258" spans="1:3">
      <c r="A258" s="8"/>
      <c r="B258" s="11" t="s">
        <v>939</v>
      </c>
      <c r="C258" s="8"/>
    </row>
    <row r="259" spans="1:3">
      <c r="A259" s="8"/>
      <c r="B259" s="11" t="s">
        <v>940</v>
      </c>
      <c r="C259" s="8"/>
    </row>
    <row r="260" spans="1:3">
      <c r="A260" s="8"/>
      <c r="B260" s="11"/>
      <c r="C260" s="8"/>
    </row>
    <row r="261" spans="1:3" ht="17.399999999999999">
      <c r="A261" s="8"/>
      <c r="B261" s="11"/>
      <c r="C261" s="16">
        <v>5</v>
      </c>
    </row>
    <row r="262" spans="1:3" ht="17.399999999999999">
      <c r="A262" s="8"/>
      <c r="B262" s="8"/>
      <c r="C262" s="16"/>
    </row>
    <row r="263" spans="1:3">
      <c r="A263" s="17"/>
      <c r="B263" s="17"/>
      <c r="C263" s="17"/>
    </row>
    <row r="264" spans="1:3">
      <c r="A264" s="8"/>
      <c r="B264" s="8"/>
      <c r="C264" s="8"/>
    </row>
    <row r="265" spans="1:3">
      <c r="A265" s="8"/>
      <c r="B265" s="8"/>
      <c r="C265" s="8"/>
    </row>
    <row r="266" spans="1:3">
      <c r="A266" s="8"/>
      <c r="B266" s="8"/>
      <c r="C266" s="8"/>
    </row>
    <row r="267" spans="1:3">
      <c r="A267" s="8"/>
      <c r="B267" s="8"/>
      <c r="C267" s="8"/>
    </row>
    <row r="268" spans="1:3">
      <c r="A268" s="8"/>
      <c r="B268" s="8"/>
      <c r="C268" s="8"/>
    </row>
    <row r="269" spans="1:3">
      <c r="A269" s="8"/>
      <c r="B269" s="6"/>
      <c r="C269" s="6"/>
    </row>
    <row r="270" spans="1:3">
      <c r="A270" s="8"/>
      <c r="B270" s="6"/>
      <c r="C270" s="6"/>
    </row>
    <row r="271" spans="1:3">
      <c r="A271" s="8"/>
      <c r="B271" s="8"/>
      <c r="C271" s="8"/>
    </row>
    <row r="272" spans="1:3">
      <c r="A272" s="8"/>
      <c r="B272" s="8"/>
      <c r="C272" s="8"/>
    </row>
    <row r="273" spans="1:3">
      <c r="A273" s="8"/>
      <c r="B273" s="8"/>
      <c r="C273" s="8"/>
    </row>
    <row r="274" spans="1:3">
      <c r="A274" s="8"/>
      <c r="B274" s="8"/>
      <c r="C274" s="8"/>
    </row>
    <row r="275" spans="1:3" ht="21">
      <c r="A275" s="9"/>
      <c r="B275" s="256" t="s">
        <v>1431</v>
      </c>
      <c r="C275" s="9"/>
    </row>
    <row r="276" spans="1:3">
      <c r="A276" s="8"/>
      <c r="B276" s="11"/>
      <c r="C276" s="8"/>
    </row>
    <row r="277" spans="1:3">
      <c r="A277" s="8"/>
      <c r="B277" s="8"/>
      <c r="C277" s="8"/>
    </row>
    <row r="278" spans="1:3">
      <c r="A278" s="8"/>
      <c r="B278" s="11" t="s">
        <v>921</v>
      </c>
      <c r="C278" s="8"/>
    </row>
    <row r="279" spans="1:3" ht="13.8">
      <c r="A279" s="8"/>
      <c r="B279" s="12" t="s">
        <v>922</v>
      </c>
      <c r="C279" s="8"/>
    </row>
    <row r="280" spans="1:3">
      <c r="A280" s="8"/>
      <c r="B280" s="8"/>
      <c r="C280" s="8"/>
    </row>
    <row r="281" spans="1:3">
      <c r="A281" s="8"/>
      <c r="B281" s="8"/>
      <c r="C281" s="8"/>
    </row>
    <row r="282" spans="1:3">
      <c r="A282" s="8"/>
      <c r="B282" s="5" t="s">
        <v>923</v>
      </c>
      <c r="C282" s="8"/>
    </row>
    <row r="283" spans="1:3" ht="24">
      <c r="A283" s="8"/>
      <c r="B283" s="13" t="s">
        <v>1</v>
      </c>
      <c r="C283" s="8"/>
    </row>
    <row r="284" spans="1:3" ht="15.6">
      <c r="A284" s="8"/>
      <c r="B284" s="2"/>
      <c r="C284" s="8"/>
    </row>
    <row r="285" spans="1:3">
      <c r="A285" s="8"/>
      <c r="B285" s="11" t="s">
        <v>924</v>
      </c>
      <c r="C285" s="8"/>
    </row>
    <row r="286" spans="1:3">
      <c r="A286" s="8"/>
      <c r="B286" s="14" t="s">
        <v>925</v>
      </c>
      <c r="C286" s="8"/>
    </row>
    <row r="287" spans="1:3">
      <c r="A287" s="8"/>
      <c r="B287" s="14" t="s">
        <v>926</v>
      </c>
      <c r="C287" s="8"/>
    </row>
    <row r="288" spans="1:3">
      <c r="A288" s="8"/>
      <c r="B288" s="5"/>
      <c r="C288" s="8"/>
    </row>
    <row r="289" spans="1:3">
      <c r="A289" s="8"/>
      <c r="B289" s="5"/>
      <c r="C289" s="8"/>
    </row>
    <row r="290" spans="1:3">
      <c r="A290" s="8"/>
      <c r="B290" s="5" t="s">
        <v>927</v>
      </c>
      <c r="C290" s="8"/>
    </row>
    <row r="291" spans="1:3">
      <c r="A291" s="8"/>
      <c r="B291" s="13" t="s">
        <v>928</v>
      </c>
      <c r="C291" s="8"/>
    </row>
    <row r="292" spans="1:3" ht="13.8">
      <c r="A292" s="15"/>
      <c r="B292" s="13" t="s">
        <v>926</v>
      </c>
      <c r="C292" s="15"/>
    </row>
    <row r="293" spans="1:3">
      <c r="A293" s="11"/>
      <c r="B293" s="11"/>
      <c r="C293" s="11"/>
    </row>
    <row r="294" spans="1:3">
      <c r="A294" s="8"/>
      <c r="B294" s="5"/>
      <c r="C294" s="8"/>
    </row>
    <row r="295" spans="1:3">
      <c r="A295" s="8"/>
      <c r="B295" s="11" t="s">
        <v>929</v>
      </c>
      <c r="C295" s="8"/>
    </row>
    <row r="296" spans="1:3">
      <c r="A296" s="8"/>
      <c r="B296" s="7" t="s">
        <v>930</v>
      </c>
      <c r="C296" s="8"/>
    </row>
    <row r="297" spans="1:3">
      <c r="A297" s="8"/>
      <c r="B297" s="5" t="s">
        <v>931</v>
      </c>
      <c r="C297" s="8"/>
    </row>
    <row r="298" spans="1:3">
      <c r="A298" s="8"/>
      <c r="B298" s="11" t="s">
        <v>932</v>
      </c>
      <c r="C298" s="8"/>
    </row>
    <row r="299" spans="1:3" ht="12.75" customHeight="1">
      <c r="A299" s="8"/>
      <c r="B299" s="11" t="s">
        <v>933</v>
      </c>
      <c r="C299" s="8"/>
    </row>
    <row r="300" spans="1:3" ht="12.75" customHeight="1">
      <c r="A300" s="8"/>
      <c r="B300" s="11"/>
      <c r="C300" s="8"/>
    </row>
    <row r="301" spans="1:3">
      <c r="A301" s="8"/>
      <c r="B301" s="11"/>
      <c r="C301" s="8"/>
    </row>
    <row r="302" spans="1:3">
      <c r="A302" s="8"/>
      <c r="B302" s="8"/>
      <c r="C302" s="8"/>
    </row>
    <row r="303" spans="1:3">
      <c r="A303" s="8"/>
      <c r="B303" s="8"/>
      <c r="C303" s="8"/>
    </row>
    <row r="304" spans="1:3">
      <c r="A304" s="8"/>
      <c r="B304" s="8"/>
      <c r="C304" s="8"/>
    </row>
    <row r="305" spans="1:3">
      <c r="A305" s="8"/>
      <c r="B305" s="8"/>
      <c r="C305" s="8"/>
    </row>
    <row r="306" spans="1:3">
      <c r="A306" s="8"/>
      <c r="B306" s="11" t="s">
        <v>934</v>
      </c>
      <c r="C306" s="8"/>
    </row>
    <row r="307" spans="1:3">
      <c r="A307" s="8"/>
      <c r="B307" s="5" t="s">
        <v>935</v>
      </c>
      <c r="C307" s="8"/>
    </row>
    <row r="308" spans="1:3">
      <c r="A308" s="8"/>
      <c r="B308" s="11" t="s">
        <v>936</v>
      </c>
      <c r="C308" s="8"/>
    </row>
    <row r="309" spans="1:3">
      <c r="A309" s="8"/>
      <c r="B309" s="11" t="s">
        <v>937</v>
      </c>
      <c r="C309" s="8"/>
    </row>
    <row r="310" spans="1:3">
      <c r="A310" s="8"/>
      <c r="B310" s="11" t="s">
        <v>938</v>
      </c>
      <c r="C310" s="8"/>
    </row>
    <row r="311" spans="1:3">
      <c r="A311" s="8"/>
      <c r="B311" s="11" t="s">
        <v>939</v>
      </c>
      <c r="C311" s="8"/>
    </row>
    <row r="312" spans="1:3">
      <c r="A312" s="8"/>
      <c r="B312" s="11" t="s">
        <v>940</v>
      </c>
      <c r="C312" s="8"/>
    </row>
    <row r="313" spans="1:3">
      <c r="A313" s="8"/>
      <c r="B313" s="11"/>
      <c r="C313" s="8"/>
    </row>
    <row r="314" spans="1:3" ht="17.399999999999999">
      <c r="A314" s="8"/>
      <c r="B314" s="11"/>
      <c r="C314" s="16">
        <v>6</v>
      </c>
    </row>
    <row r="315" spans="1:3" ht="17.399999999999999">
      <c r="A315" s="8"/>
      <c r="B315" s="8"/>
      <c r="C315" s="16"/>
    </row>
    <row r="316" spans="1:3">
      <c r="A316" s="17"/>
      <c r="B316" s="17"/>
      <c r="C316" s="17"/>
    </row>
    <row r="317" spans="1:3">
      <c r="A317" s="8"/>
      <c r="B317" s="8"/>
      <c r="C317" s="8"/>
    </row>
    <row r="318" spans="1:3">
      <c r="A318" s="8"/>
      <c r="B318" s="8"/>
      <c r="C318" s="8"/>
    </row>
    <row r="319" spans="1:3">
      <c r="A319" s="8"/>
      <c r="B319" s="8"/>
      <c r="C319" s="8"/>
    </row>
    <row r="320" spans="1:3">
      <c r="A320" s="8"/>
      <c r="B320" s="8"/>
      <c r="C320" s="8"/>
    </row>
    <row r="321" spans="1:3">
      <c r="A321" s="8"/>
      <c r="B321" s="8"/>
      <c r="C321" s="8"/>
    </row>
    <row r="322" spans="1:3">
      <c r="A322" s="8"/>
      <c r="B322" s="6"/>
      <c r="C322" s="6"/>
    </row>
    <row r="323" spans="1:3">
      <c r="A323" s="8"/>
      <c r="B323" s="6"/>
      <c r="C323" s="6"/>
    </row>
    <row r="324" spans="1:3">
      <c r="A324" s="8"/>
      <c r="B324" s="8"/>
      <c r="C324" s="8"/>
    </row>
    <row r="325" spans="1:3">
      <c r="A325" s="8"/>
      <c r="B325" s="8"/>
      <c r="C325" s="8"/>
    </row>
    <row r="326" spans="1:3">
      <c r="A326" s="8"/>
      <c r="B326" s="8"/>
      <c r="C326" s="8"/>
    </row>
    <row r="327" spans="1:3">
      <c r="A327" s="8"/>
      <c r="B327" s="8"/>
      <c r="C327" s="8"/>
    </row>
    <row r="328" spans="1:3" ht="21">
      <c r="A328" s="9"/>
      <c r="B328" s="256" t="s">
        <v>1431</v>
      </c>
      <c r="C328" s="9"/>
    </row>
    <row r="329" spans="1:3">
      <c r="A329" s="8"/>
      <c r="B329" s="11"/>
      <c r="C329" s="8"/>
    </row>
    <row r="330" spans="1:3">
      <c r="A330" s="8"/>
      <c r="B330" s="8"/>
      <c r="C330" s="8"/>
    </row>
    <row r="331" spans="1:3">
      <c r="A331" s="8"/>
      <c r="B331" s="11" t="s">
        <v>921</v>
      </c>
      <c r="C331" s="8"/>
    </row>
    <row r="332" spans="1:3" ht="13.8">
      <c r="A332" s="8"/>
      <c r="B332" s="12" t="s">
        <v>922</v>
      </c>
      <c r="C332" s="8"/>
    </row>
    <row r="333" spans="1:3">
      <c r="A333" s="8"/>
      <c r="B333" s="8"/>
      <c r="C333" s="8"/>
    </row>
    <row r="334" spans="1:3">
      <c r="A334" s="8"/>
      <c r="B334" s="8"/>
      <c r="C334" s="8"/>
    </row>
    <row r="335" spans="1:3">
      <c r="A335" s="8"/>
      <c r="B335" s="5" t="s">
        <v>923</v>
      </c>
      <c r="C335" s="8"/>
    </row>
    <row r="336" spans="1:3" ht="24">
      <c r="A336" s="8"/>
      <c r="B336" s="13" t="s">
        <v>943</v>
      </c>
      <c r="C336" s="8"/>
    </row>
    <row r="337" spans="1:3" ht="15.6">
      <c r="A337" s="8"/>
      <c r="B337" s="2"/>
      <c r="C337" s="8"/>
    </row>
    <row r="338" spans="1:3">
      <c r="A338" s="8"/>
      <c r="B338" s="11" t="s">
        <v>924</v>
      </c>
      <c r="C338" s="8"/>
    </row>
    <row r="339" spans="1:3">
      <c r="A339" s="8"/>
      <c r="B339" s="14" t="s">
        <v>925</v>
      </c>
      <c r="C339" s="8"/>
    </row>
    <row r="340" spans="1:3">
      <c r="A340" s="8"/>
      <c r="B340" s="14" t="s">
        <v>926</v>
      </c>
      <c r="C340" s="8"/>
    </row>
    <row r="341" spans="1:3">
      <c r="A341" s="8"/>
      <c r="B341" s="5"/>
      <c r="C341" s="8"/>
    </row>
    <row r="342" spans="1:3">
      <c r="A342" s="8"/>
      <c r="B342" s="5"/>
      <c r="C342" s="8"/>
    </row>
    <row r="343" spans="1:3">
      <c r="A343" s="8"/>
      <c r="B343" s="5" t="s">
        <v>927</v>
      </c>
      <c r="C343" s="8"/>
    </row>
    <row r="344" spans="1:3">
      <c r="A344" s="8"/>
      <c r="B344" s="13" t="s">
        <v>928</v>
      </c>
      <c r="C344" s="8"/>
    </row>
    <row r="345" spans="1:3" ht="13.8">
      <c r="A345" s="15"/>
      <c r="B345" s="13" t="s">
        <v>926</v>
      </c>
      <c r="C345" s="15"/>
    </row>
    <row r="346" spans="1:3">
      <c r="A346" s="11"/>
      <c r="B346" s="11"/>
      <c r="C346" s="11"/>
    </row>
    <row r="347" spans="1:3">
      <c r="A347" s="8"/>
      <c r="B347" s="5"/>
      <c r="C347" s="8"/>
    </row>
    <row r="348" spans="1:3">
      <c r="A348" s="8"/>
      <c r="B348" s="11" t="s">
        <v>929</v>
      </c>
      <c r="C348" s="8"/>
    </row>
    <row r="349" spans="1:3">
      <c r="A349" s="8"/>
      <c r="B349" s="7" t="s">
        <v>930</v>
      </c>
      <c r="C349" s="8"/>
    </row>
    <row r="350" spans="1:3">
      <c r="A350" s="8"/>
      <c r="B350" s="5" t="s">
        <v>931</v>
      </c>
      <c r="C350" s="8"/>
    </row>
    <row r="351" spans="1:3">
      <c r="A351" s="8"/>
      <c r="B351" s="11" t="s">
        <v>932</v>
      </c>
      <c r="C351" s="8"/>
    </row>
    <row r="352" spans="1:3">
      <c r="A352" s="8"/>
      <c r="B352" s="11" t="s">
        <v>933</v>
      </c>
      <c r="C352" s="8"/>
    </row>
    <row r="353" spans="1:3">
      <c r="A353" s="8"/>
      <c r="B353" s="11"/>
      <c r="C353" s="8"/>
    </row>
    <row r="354" spans="1:3">
      <c r="A354" s="8"/>
      <c r="B354" s="11"/>
      <c r="C354" s="8"/>
    </row>
    <row r="355" spans="1:3">
      <c r="A355" s="8"/>
      <c r="B355" s="8"/>
      <c r="C355" s="8"/>
    </row>
    <row r="356" spans="1:3">
      <c r="A356" s="8"/>
      <c r="B356" s="8"/>
      <c r="C356" s="8"/>
    </row>
    <row r="357" spans="1:3">
      <c r="A357" s="8"/>
      <c r="B357" s="8"/>
      <c r="C357" s="8"/>
    </row>
    <row r="358" spans="1:3">
      <c r="A358" s="8"/>
      <c r="B358" s="8"/>
      <c r="C358" s="8"/>
    </row>
    <row r="359" spans="1:3">
      <c r="A359" s="8"/>
      <c r="B359" s="11" t="s">
        <v>934</v>
      </c>
      <c r="C359" s="8"/>
    </row>
    <row r="360" spans="1:3">
      <c r="A360" s="8"/>
      <c r="B360" s="5" t="s">
        <v>935</v>
      </c>
      <c r="C360" s="8"/>
    </row>
    <row r="361" spans="1:3">
      <c r="A361" s="8"/>
      <c r="B361" s="11" t="s">
        <v>936</v>
      </c>
      <c r="C361" s="8"/>
    </row>
    <row r="362" spans="1:3">
      <c r="A362" s="8"/>
      <c r="B362" s="11" t="s">
        <v>937</v>
      </c>
      <c r="C362" s="8"/>
    </row>
    <row r="363" spans="1:3">
      <c r="A363" s="8"/>
      <c r="B363" s="11" t="s">
        <v>938</v>
      </c>
      <c r="C363" s="8"/>
    </row>
    <row r="364" spans="1:3">
      <c r="A364" s="8"/>
      <c r="B364" s="11" t="s">
        <v>939</v>
      </c>
      <c r="C364" s="8"/>
    </row>
    <row r="365" spans="1:3">
      <c r="A365" s="8"/>
      <c r="B365" s="11" t="s">
        <v>940</v>
      </c>
      <c r="C365" s="8"/>
    </row>
    <row r="366" spans="1:3">
      <c r="A366" s="8"/>
      <c r="B366" s="11"/>
      <c r="C366" s="8"/>
    </row>
    <row r="367" spans="1:3" ht="17.399999999999999">
      <c r="A367" s="8"/>
      <c r="B367" s="11"/>
      <c r="C367" s="16">
        <v>7</v>
      </c>
    </row>
    <row r="368" spans="1:3" ht="17.399999999999999">
      <c r="A368" s="8"/>
      <c r="B368" s="8"/>
      <c r="C368" s="16"/>
    </row>
    <row r="369" spans="1:3">
      <c r="A369" s="17"/>
      <c r="B369" s="17"/>
      <c r="C369" s="17"/>
    </row>
    <row r="370" spans="1:3">
      <c r="A370" s="8"/>
      <c r="B370" s="8"/>
      <c r="C370" s="8"/>
    </row>
    <row r="371" spans="1:3">
      <c r="A371" s="8"/>
      <c r="B371" s="8"/>
      <c r="C371" s="8"/>
    </row>
    <row r="372" spans="1:3">
      <c r="A372" s="8"/>
      <c r="B372" s="8"/>
      <c r="C372" s="8"/>
    </row>
    <row r="373" spans="1:3">
      <c r="A373" s="8"/>
      <c r="B373" s="8"/>
      <c r="C373" s="8"/>
    </row>
    <row r="374" spans="1:3">
      <c r="A374" s="8"/>
      <c r="B374" s="8"/>
      <c r="C374" s="8"/>
    </row>
    <row r="375" spans="1:3">
      <c r="A375" s="8"/>
      <c r="B375" s="8"/>
      <c r="C375" s="8"/>
    </row>
    <row r="376" spans="1:3">
      <c r="A376" s="8"/>
      <c r="B376" s="8"/>
      <c r="C376" s="8"/>
    </row>
    <row r="377" spans="1:3">
      <c r="A377" s="8"/>
      <c r="B377" s="8"/>
      <c r="C377" s="8"/>
    </row>
    <row r="378" spans="1:3">
      <c r="A378" s="8"/>
      <c r="B378" s="8"/>
      <c r="C378" s="8"/>
    </row>
    <row r="379" spans="1:3">
      <c r="A379" s="8"/>
      <c r="B379" s="8"/>
      <c r="C379" s="8"/>
    </row>
  </sheetData>
  <mergeCells count="1">
    <mergeCell ref="A212:C21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J379"/>
  <sheetViews>
    <sheetView topLeftCell="A4" workbookViewId="0">
      <selection activeCell="A4" sqref="A1:XFD1048576"/>
    </sheetView>
  </sheetViews>
  <sheetFormatPr defaultColWidth="9.109375" defaultRowHeight="13.2"/>
  <cols>
    <col min="1" max="1" width="10" style="1" customWidth="1"/>
    <col min="2" max="2" width="61.88671875" style="3" customWidth="1"/>
    <col min="3" max="3" width="12.5546875" style="1" customWidth="1"/>
    <col min="4" max="16384" width="9.109375" style="1"/>
  </cols>
  <sheetData>
    <row r="1" spans="1:10">
      <c r="A1" s="8"/>
      <c r="B1" s="8"/>
      <c r="C1" s="8"/>
    </row>
    <row r="2" spans="1:10">
      <c r="A2" s="8"/>
      <c r="B2" s="8"/>
      <c r="C2" s="8"/>
    </row>
    <row r="3" spans="1:10" ht="15.6">
      <c r="A3" s="8"/>
      <c r="B3" s="8"/>
      <c r="C3" s="8"/>
      <c r="D3" s="2"/>
    </row>
    <row r="4" spans="1:10">
      <c r="A4" s="8"/>
      <c r="B4" s="6"/>
      <c r="C4" s="6"/>
    </row>
    <row r="5" spans="1:10">
      <c r="A5" s="8"/>
      <c r="B5" s="6"/>
      <c r="C5" s="6"/>
    </row>
    <row r="6" spans="1:10">
      <c r="A6" s="8"/>
      <c r="B6" s="8"/>
      <c r="C6" s="8"/>
    </row>
    <row r="7" spans="1:10">
      <c r="A7" s="8"/>
      <c r="B7" s="8"/>
      <c r="C7" s="8"/>
    </row>
    <row r="8" spans="1:10">
      <c r="A8" s="8"/>
      <c r="B8" s="8"/>
      <c r="C8" s="8"/>
    </row>
    <row r="9" spans="1:10">
      <c r="A9" s="8"/>
      <c r="B9" s="8"/>
      <c r="C9" s="8"/>
    </row>
    <row r="10" spans="1:10" ht="21">
      <c r="A10" s="9"/>
      <c r="B10" s="10" t="s">
        <v>920</v>
      </c>
      <c r="C10" s="9"/>
    </row>
    <row r="11" spans="1:10">
      <c r="A11" s="8"/>
      <c r="B11" s="11"/>
      <c r="C11" s="8"/>
    </row>
    <row r="12" spans="1:10">
      <c r="A12" s="8"/>
      <c r="B12" s="8"/>
      <c r="C12" s="8"/>
      <c r="D12" s="6"/>
      <c r="E12" s="6"/>
      <c r="F12" s="6"/>
      <c r="G12" s="6"/>
      <c r="H12" s="6"/>
      <c r="I12" s="6"/>
      <c r="J12" s="6"/>
    </row>
    <row r="13" spans="1:10">
      <c r="A13" s="8"/>
      <c r="B13" s="11" t="s">
        <v>921</v>
      </c>
      <c r="C13" s="8"/>
    </row>
    <row r="14" spans="1:10" ht="13.8">
      <c r="A14" s="8"/>
      <c r="B14" s="12" t="s">
        <v>922</v>
      </c>
      <c r="C14" s="8"/>
    </row>
    <row r="15" spans="1:10">
      <c r="A15" s="8"/>
      <c r="B15" s="8"/>
      <c r="C15" s="8"/>
    </row>
    <row r="16" spans="1:10" ht="13.8">
      <c r="A16" s="8"/>
      <c r="B16" s="12"/>
      <c r="C16" s="8"/>
    </row>
    <row r="17" spans="1:3">
      <c r="A17" s="8"/>
      <c r="B17" s="5" t="s">
        <v>923</v>
      </c>
      <c r="C17" s="8"/>
    </row>
    <row r="18" spans="1:3" ht="26.4">
      <c r="A18" s="8"/>
      <c r="B18" s="18" t="s">
        <v>1</v>
      </c>
      <c r="C18" s="8"/>
    </row>
    <row r="19" spans="1:3" ht="15.6">
      <c r="A19" s="8"/>
      <c r="B19" s="2"/>
      <c r="C19" s="8"/>
    </row>
    <row r="20" spans="1:3">
      <c r="A20" s="8"/>
      <c r="B20" s="11" t="s">
        <v>924</v>
      </c>
      <c r="C20" s="8"/>
    </row>
    <row r="21" spans="1:3">
      <c r="A21" s="8"/>
      <c r="B21" s="14" t="s">
        <v>925</v>
      </c>
      <c r="C21" s="8"/>
    </row>
    <row r="22" spans="1:3">
      <c r="A22" s="8"/>
      <c r="B22" s="14" t="s">
        <v>926</v>
      </c>
      <c r="C22" s="8"/>
    </row>
    <row r="23" spans="1:3">
      <c r="A23" s="8"/>
      <c r="B23" s="5"/>
      <c r="C23" s="8"/>
    </row>
    <row r="24" spans="1:3">
      <c r="A24" s="8"/>
      <c r="B24" s="5"/>
      <c r="C24" s="8"/>
    </row>
    <row r="25" spans="1:3">
      <c r="A25" s="8"/>
      <c r="B25" s="5" t="s">
        <v>927</v>
      </c>
      <c r="C25" s="8"/>
    </row>
    <row r="26" spans="1:3">
      <c r="A26" s="8"/>
      <c r="B26" s="13" t="s">
        <v>928</v>
      </c>
      <c r="C26" s="8"/>
    </row>
    <row r="27" spans="1:3" ht="13.8">
      <c r="A27" s="15"/>
      <c r="B27" s="13" t="s">
        <v>926</v>
      </c>
      <c r="C27" s="15"/>
    </row>
    <row r="28" spans="1:3">
      <c r="A28" s="11"/>
      <c r="B28" s="11"/>
      <c r="C28" s="11"/>
    </row>
    <row r="29" spans="1:3">
      <c r="A29" s="8"/>
      <c r="B29" s="5"/>
      <c r="C29" s="8"/>
    </row>
    <row r="30" spans="1:3">
      <c r="A30" s="8"/>
      <c r="B30" s="11" t="s">
        <v>929</v>
      </c>
      <c r="C30" s="8"/>
    </row>
    <row r="31" spans="1:3">
      <c r="A31" s="8"/>
      <c r="B31" s="7" t="s">
        <v>930</v>
      </c>
      <c r="C31" s="8"/>
    </row>
    <row r="32" spans="1:3">
      <c r="A32" s="8"/>
      <c r="B32" s="5" t="s">
        <v>931</v>
      </c>
      <c r="C32" s="8"/>
    </row>
    <row r="33" spans="1:4">
      <c r="A33" s="8"/>
      <c r="B33" s="11" t="s">
        <v>932</v>
      </c>
      <c r="C33" s="8"/>
    </row>
    <row r="34" spans="1:4">
      <c r="A34" s="8"/>
      <c r="B34" s="11" t="s">
        <v>933</v>
      </c>
      <c r="C34" s="8"/>
    </row>
    <row r="35" spans="1:4">
      <c r="A35" s="8"/>
      <c r="B35" s="11"/>
      <c r="C35" s="8"/>
    </row>
    <row r="36" spans="1:4">
      <c r="A36" s="8"/>
      <c r="B36" s="11"/>
      <c r="C36" s="8"/>
    </row>
    <row r="37" spans="1:4">
      <c r="A37" s="8"/>
      <c r="B37" s="8"/>
      <c r="C37" s="8"/>
    </row>
    <row r="38" spans="1:4">
      <c r="A38" s="8"/>
      <c r="B38" s="8"/>
      <c r="C38" s="8"/>
    </row>
    <row r="39" spans="1:4">
      <c r="A39" s="8"/>
      <c r="B39" s="8"/>
      <c r="C39" s="8"/>
    </row>
    <row r="40" spans="1:4">
      <c r="A40" s="8"/>
      <c r="B40" s="8"/>
      <c r="C40" s="8"/>
    </row>
    <row r="41" spans="1:4">
      <c r="A41" s="8"/>
      <c r="B41" s="11" t="s">
        <v>934</v>
      </c>
      <c r="C41" s="8"/>
    </row>
    <row r="42" spans="1:4" ht="12.75" customHeight="1">
      <c r="A42" s="8"/>
      <c r="B42" s="5" t="s">
        <v>935</v>
      </c>
      <c r="C42" s="8"/>
    </row>
    <row r="43" spans="1:4" ht="12.75" customHeight="1">
      <c r="A43" s="8"/>
      <c r="B43" s="11" t="s">
        <v>936</v>
      </c>
      <c r="C43" s="8"/>
    </row>
    <row r="44" spans="1:4">
      <c r="A44" s="8"/>
      <c r="B44" s="11" t="s">
        <v>937</v>
      </c>
      <c r="C44" s="8"/>
    </row>
    <row r="45" spans="1:4">
      <c r="A45" s="8"/>
      <c r="B45" s="11" t="s">
        <v>938</v>
      </c>
      <c r="C45" s="8"/>
    </row>
    <row r="46" spans="1:4" ht="15.6">
      <c r="A46" s="8"/>
      <c r="B46" s="11" t="s">
        <v>939</v>
      </c>
      <c r="C46" s="8"/>
      <c r="D46" s="2"/>
    </row>
    <row r="47" spans="1:4">
      <c r="A47" s="8"/>
      <c r="B47" s="11" t="s">
        <v>940</v>
      </c>
      <c r="C47" s="8"/>
    </row>
    <row r="48" spans="1:4">
      <c r="A48" s="8"/>
      <c r="B48" s="11"/>
      <c r="C48" s="8"/>
    </row>
    <row r="49" spans="1:10" ht="17.399999999999999">
      <c r="A49" s="8"/>
      <c r="B49" s="11"/>
      <c r="C49" s="16">
        <v>1</v>
      </c>
    </row>
    <row r="50" spans="1:10" ht="17.399999999999999">
      <c r="A50" s="8"/>
      <c r="B50" s="8"/>
      <c r="C50" s="16"/>
    </row>
    <row r="51" spans="1:10">
      <c r="A51" s="17"/>
      <c r="B51" s="17"/>
      <c r="C51" s="17"/>
    </row>
    <row r="52" spans="1:10">
      <c r="A52" s="8"/>
      <c r="B52" s="8"/>
      <c r="C52" s="8"/>
    </row>
    <row r="53" spans="1:10">
      <c r="A53" s="8"/>
      <c r="B53" s="8"/>
      <c r="C53" s="8"/>
    </row>
    <row r="54" spans="1:10">
      <c r="A54" s="8"/>
      <c r="B54" s="8"/>
      <c r="C54" s="8"/>
    </row>
    <row r="55" spans="1:10">
      <c r="A55" s="8"/>
      <c r="B55" s="8"/>
      <c r="C55" s="8"/>
    </row>
    <row r="56" spans="1:10">
      <c r="A56" s="8"/>
      <c r="B56" s="8"/>
      <c r="C56" s="8"/>
    </row>
    <row r="57" spans="1:10">
      <c r="A57" s="8"/>
      <c r="B57" s="6"/>
      <c r="C57" s="6"/>
      <c r="D57" s="4"/>
      <c r="E57" s="4"/>
      <c r="F57" s="4"/>
      <c r="G57" s="4"/>
      <c r="H57" s="4"/>
      <c r="I57" s="4"/>
      <c r="J57" s="4"/>
    </row>
    <row r="58" spans="1:10">
      <c r="A58" s="8"/>
      <c r="B58" s="6"/>
      <c r="C58" s="6"/>
    </row>
    <row r="59" spans="1:10">
      <c r="A59" s="8"/>
      <c r="B59" s="8"/>
      <c r="C59" s="8"/>
    </row>
    <row r="60" spans="1:10">
      <c r="A60" s="8"/>
      <c r="B60" s="8"/>
      <c r="C60" s="8"/>
    </row>
    <row r="61" spans="1:10">
      <c r="A61" s="8"/>
      <c r="B61" s="8"/>
      <c r="C61" s="8"/>
    </row>
    <row r="62" spans="1:10">
      <c r="A62" s="8"/>
      <c r="B62" s="8"/>
      <c r="C62" s="8"/>
      <c r="D62" s="6"/>
      <c r="E62" s="6"/>
      <c r="F62" s="6"/>
      <c r="G62" s="6"/>
      <c r="H62" s="6"/>
      <c r="I62" s="6"/>
      <c r="J62" s="6"/>
    </row>
    <row r="63" spans="1:10" ht="21">
      <c r="A63" s="9"/>
      <c r="B63" s="10" t="s">
        <v>941</v>
      </c>
      <c r="C63" s="9"/>
      <c r="D63" s="6"/>
      <c r="E63" s="6"/>
      <c r="F63" s="6"/>
      <c r="G63" s="6"/>
      <c r="H63" s="6"/>
      <c r="I63" s="6"/>
      <c r="J63" s="6"/>
    </row>
    <row r="64" spans="1:10">
      <c r="A64" s="8"/>
      <c r="B64" s="11"/>
      <c r="C64" s="8"/>
      <c r="D64" s="6"/>
      <c r="E64" s="6"/>
      <c r="F64" s="6"/>
      <c r="G64" s="6"/>
      <c r="H64" s="6"/>
      <c r="I64" s="6"/>
      <c r="J64" s="6"/>
    </row>
    <row r="65" spans="1:3">
      <c r="A65" s="8"/>
      <c r="B65" s="8"/>
      <c r="C65" s="8"/>
    </row>
    <row r="66" spans="1:3">
      <c r="A66" s="8"/>
      <c r="B66" s="11" t="s">
        <v>921</v>
      </c>
      <c r="C66" s="8"/>
    </row>
    <row r="67" spans="1:3" ht="13.8">
      <c r="A67" s="8"/>
      <c r="B67" s="12" t="s">
        <v>922</v>
      </c>
      <c r="C67" s="8"/>
    </row>
    <row r="68" spans="1:3">
      <c r="A68" s="8"/>
      <c r="B68" s="8"/>
      <c r="C68" s="8"/>
    </row>
    <row r="69" spans="1:3">
      <c r="A69" s="8"/>
      <c r="B69" s="8"/>
      <c r="C69" s="8"/>
    </row>
    <row r="70" spans="1:3">
      <c r="A70" s="8"/>
      <c r="B70" s="5" t="s">
        <v>923</v>
      </c>
      <c r="C70" s="8"/>
    </row>
    <row r="71" spans="1:3" ht="24">
      <c r="A71" s="8"/>
      <c r="B71" s="13" t="s">
        <v>1</v>
      </c>
      <c r="C71" s="8"/>
    </row>
    <row r="72" spans="1:3" ht="15.6">
      <c r="A72" s="8"/>
      <c r="B72" s="2"/>
      <c r="C72" s="8"/>
    </row>
    <row r="73" spans="1:3">
      <c r="A73" s="8"/>
      <c r="B73" s="11" t="s">
        <v>924</v>
      </c>
      <c r="C73" s="8"/>
    </row>
    <row r="74" spans="1:3">
      <c r="A74" s="8"/>
      <c r="B74" s="14" t="s">
        <v>925</v>
      </c>
      <c r="C74" s="8"/>
    </row>
    <row r="75" spans="1:3">
      <c r="A75" s="8"/>
      <c r="B75" s="14" t="s">
        <v>926</v>
      </c>
      <c r="C75" s="8"/>
    </row>
    <row r="76" spans="1:3">
      <c r="A76" s="8"/>
      <c r="B76" s="5"/>
      <c r="C76" s="8"/>
    </row>
    <row r="77" spans="1:3">
      <c r="A77" s="8"/>
      <c r="B77" s="5"/>
      <c r="C77" s="8"/>
    </row>
    <row r="78" spans="1:3">
      <c r="A78" s="8"/>
      <c r="B78" s="5" t="s">
        <v>927</v>
      </c>
      <c r="C78" s="8"/>
    </row>
    <row r="79" spans="1:3">
      <c r="A79" s="8"/>
      <c r="B79" s="13" t="s">
        <v>928</v>
      </c>
      <c r="C79" s="8"/>
    </row>
    <row r="80" spans="1:3" ht="13.8">
      <c r="A80" s="15"/>
      <c r="B80" s="13" t="s">
        <v>926</v>
      </c>
      <c r="C80" s="15"/>
    </row>
    <row r="81" spans="1:3">
      <c r="A81" s="11"/>
      <c r="B81" s="11"/>
      <c r="C81" s="11"/>
    </row>
    <row r="82" spans="1:3">
      <c r="A82" s="8"/>
      <c r="B82" s="5"/>
      <c r="C82" s="8"/>
    </row>
    <row r="83" spans="1:3">
      <c r="A83" s="8"/>
      <c r="B83" s="11" t="s">
        <v>929</v>
      </c>
      <c r="C83" s="8"/>
    </row>
    <row r="84" spans="1:3">
      <c r="A84" s="8"/>
      <c r="B84" s="7" t="s">
        <v>930</v>
      </c>
      <c r="C84" s="8"/>
    </row>
    <row r="85" spans="1:3">
      <c r="A85" s="8"/>
      <c r="B85" s="5" t="s">
        <v>931</v>
      </c>
      <c r="C85" s="8"/>
    </row>
    <row r="86" spans="1:3">
      <c r="A86" s="8"/>
      <c r="B86" s="11" t="s">
        <v>932</v>
      </c>
      <c r="C86" s="8"/>
    </row>
    <row r="87" spans="1:3">
      <c r="A87" s="8"/>
      <c r="B87" s="11" t="s">
        <v>933</v>
      </c>
      <c r="C87" s="8"/>
    </row>
    <row r="88" spans="1:3">
      <c r="A88" s="8"/>
      <c r="B88" s="11"/>
      <c r="C88" s="8"/>
    </row>
    <row r="89" spans="1:3">
      <c r="A89" s="8"/>
      <c r="B89" s="11"/>
      <c r="C89" s="8"/>
    </row>
    <row r="90" spans="1:3">
      <c r="A90" s="8"/>
      <c r="B90" s="8"/>
      <c r="C90" s="8"/>
    </row>
    <row r="91" spans="1:3">
      <c r="A91" s="8"/>
      <c r="B91" s="8"/>
      <c r="C91" s="8"/>
    </row>
    <row r="92" spans="1:3">
      <c r="A92" s="8"/>
      <c r="B92" s="8"/>
      <c r="C92" s="8"/>
    </row>
    <row r="93" spans="1:3">
      <c r="A93" s="8"/>
      <c r="B93" s="8"/>
      <c r="C93" s="8"/>
    </row>
    <row r="94" spans="1:3">
      <c r="A94" s="8"/>
      <c r="B94" s="11" t="s">
        <v>934</v>
      </c>
      <c r="C94" s="8"/>
    </row>
    <row r="95" spans="1:3" ht="12.75" customHeight="1">
      <c r="A95" s="8"/>
      <c r="B95" s="5" t="s">
        <v>935</v>
      </c>
      <c r="C95" s="8"/>
    </row>
    <row r="96" spans="1:3" ht="12.75" customHeight="1">
      <c r="A96" s="8"/>
      <c r="B96" s="11" t="s">
        <v>936</v>
      </c>
      <c r="C96" s="8"/>
    </row>
    <row r="97" spans="1:10">
      <c r="A97" s="8"/>
      <c r="B97" s="11" t="s">
        <v>937</v>
      </c>
      <c r="C97" s="8"/>
    </row>
    <row r="98" spans="1:10">
      <c r="A98" s="8"/>
      <c r="B98" s="11" t="s">
        <v>938</v>
      </c>
      <c r="C98" s="8"/>
    </row>
    <row r="99" spans="1:10" ht="15.6">
      <c r="A99" s="8"/>
      <c r="B99" s="11" t="s">
        <v>939</v>
      </c>
      <c r="C99" s="8"/>
      <c r="D99" s="2"/>
    </row>
    <row r="100" spans="1:10">
      <c r="A100" s="8"/>
      <c r="B100" s="11" t="s">
        <v>940</v>
      </c>
      <c r="C100" s="8"/>
    </row>
    <row r="101" spans="1:10">
      <c r="A101" s="8"/>
      <c r="B101" s="11"/>
      <c r="C101" s="8"/>
    </row>
    <row r="102" spans="1:10" ht="17.399999999999999">
      <c r="A102" s="8"/>
      <c r="B102" s="11"/>
      <c r="C102" s="16">
        <v>2</v>
      </c>
    </row>
    <row r="103" spans="1:10" ht="17.399999999999999">
      <c r="A103" s="8"/>
      <c r="B103" s="8"/>
      <c r="C103" s="16"/>
    </row>
    <row r="104" spans="1:10">
      <c r="A104" s="17"/>
      <c r="B104" s="17"/>
      <c r="C104" s="17"/>
    </row>
    <row r="105" spans="1:10">
      <c r="A105" s="8"/>
      <c r="B105" s="8"/>
      <c r="C105" s="8"/>
    </row>
    <row r="106" spans="1:10">
      <c r="A106" s="8"/>
      <c r="B106" s="8"/>
      <c r="C106" s="8"/>
    </row>
    <row r="107" spans="1:10">
      <c r="A107" s="8"/>
      <c r="B107" s="8"/>
      <c r="C107" s="8"/>
    </row>
    <row r="108" spans="1:10">
      <c r="A108" s="8"/>
      <c r="B108" s="8"/>
      <c r="C108" s="8"/>
    </row>
    <row r="109" spans="1:10">
      <c r="A109" s="8"/>
      <c r="B109" s="8"/>
      <c r="C109" s="8"/>
    </row>
    <row r="110" spans="1:10">
      <c r="A110" s="8"/>
      <c r="B110" s="6"/>
      <c r="C110" s="6"/>
      <c r="D110" s="4"/>
      <c r="E110" s="4"/>
      <c r="F110" s="4"/>
      <c r="G110" s="4"/>
      <c r="H110" s="4"/>
      <c r="I110" s="4"/>
      <c r="J110" s="4"/>
    </row>
    <row r="111" spans="1:10">
      <c r="A111" s="8"/>
      <c r="B111" s="6"/>
      <c r="C111" s="6"/>
    </row>
    <row r="112" spans="1:10">
      <c r="A112" s="8"/>
      <c r="B112" s="8"/>
      <c r="C112" s="8"/>
    </row>
    <row r="113" spans="1:10">
      <c r="A113" s="8"/>
      <c r="B113" s="8"/>
      <c r="C113" s="8"/>
    </row>
    <row r="114" spans="1:10">
      <c r="A114" s="8"/>
      <c r="B114" s="8"/>
      <c r="C114" s="8"/>
    </row>
    <row r="115" spans="1:10">
      <c r="A115" s="8"/>
      <c r="B115" s="8"/>
      <c r="C115" s="8"/>
      <c r="D115" s="6"/>
      <c r="E115" s="6"/>
      <c r="F115" s="6"/>
      <c r="G115" s="6"/>
      <c r="H115" s="6"/>
      <c r="I115" s="6"/>
      <c r="J115" s="6"/>
    </row>
    <row r="116" spans="1:10" ht="21">
      <c r="A116" s="9"/>
      <c r="B116" s="10" t="s">
        <v>941</v>
      </c>
      <c r="C116" s="9"/>
      <c r="D116" s="6"/>
      <c r="E116" s="6"/>
      <c r="F116" s="6"/>
      <c r="G116" s="6"/>
      <c r="H116" s="6"/>
      <c r="I116" s="6"/>
      <c r="J116" s="6"/>
    </row>
    <row r="117" spans="1:10">
      <c r="A117" s="8"/>
      <c r="B117" s="11"/>
      <c r="C117" s="8"/>
      <c r="D117" s="6"/>
      <c r="E117" s="6"/>
      <c r="F117" s="6"/>
      <c r="G117" s="6"/>
      <c r="H117" s="6"/>
      <c r="I117" s="6"/>
      <c r="J117" s="6"/>
    </row>
    <row r="118" spans="1:10">
      <c r="A118" s="8"/>
      <c r="B118" s="8"/>
      <c r="C118" s="8"/>
    </row>
    <row r="119" spans="1:10">
      <c r="A119" s="8"/>
      <c r="B119" s="11" t="s">
        <v>921</v>
      </c>
      <c r="C119" s="8"/>
    </row>
    <row r="120" spans="1:10" ht="13.8">
      <c r="A120" s="8"/>
      <c r="B120" s="12" t="s">
        <v>922</v>
      </c>
      <c r="C120" s="8"/>
    </row>
    <row r="121" spans="1:10">
      <c r="A121" s="8"/>
      <c r="B121" s="8"/>
      <c r="C121" s="8"/>
    </row>
    <row r="122" spans="1:10">
      <c r="A122" s="8"/>
      <c r="B122" s="8"/>
      <c r="C122" s="8"/>
    </row>
    <row r="123" spans="1:10">
      <c r="A123" s="8"/>
      <c r="B123" s="5" t="s">
        <v>923</v>
      </c>
      <c r="C123" s="8"/>
    </row>
    <row r="124" spans="1:10" ht="24">
      <c r="A124" s="8"/>
      <c r="B124" s="13" t="s">
        <v>942</v>
      </c>
      <c r="C124" s="8"/>
    </row>
    <row r="125" spans="1:10" ht="15.6">
      <c r="A125" s="8"/>
      <c r="B125" s="2"/>
      <c r="C125" s="8"/>
    </row>
    <row r="126" spans="1:10">
      <c r="A126" s="8"/>
      <c r="B126" s="11" t="s">
        <v>924</v>
      </c>
      <c r="C126" s="8"/>
    </row>
    <row r="127" spans="1:10">
      <c r="A127" s="8"/>
      <c r="B127" s="14" t="s">
        <v>925</v>
      </c>
      <c r="C127" s="8"/>
    </row>
    <row r="128" spans="1:10">
      <c r="A128" s="8"/>
      <c r="B128" s="14" t="s">
        <v>926</v>
      </c>
      <c r="C128" s="8"/>
    </row>
    <row r="129" spans="1:3">
      <c r="A129" s="8"/>
      <c r="B129" s="5"/>
      <c r="C129" s="8"/>
    </row>
    <row r="130" spans="1:3">
      <c r="A130" s="8"/>
      <c r="B130" s="5"/>
      <c r="C130" s="8"/>
    </row>
    <row r="131" spans="1:3">
      <c r="A131" s="8"/>
      <c r="B131" s="5" t="s">
        <v>927</v>
      </c>
      <c r="C131" s="8"/>
    </row>
    <row r="132" spans="1:3">
      <c r="A132" s="8"/>
      <c r="B132" s="13" t="s">
        <v>928</v>
      </c>
      <c r="C132" s="8"/>
    </row>
    <row r="133" spans="1:3" ht="13.8">
      <c r="A133" s="15"/>
      <c r="B133" s="13" t="s">
        <v>926</v>
      </c>
      <c r="C133" s="15"/>
    </row>
    <row r="134" spans="1:3">
      <c r="A134" s="11"/>
      <c r="B134" s="11"/>
      <c r="C134" s="11"/>
    </row>
    <row r="135" spans="1:3">
      <c r="A135" s="8"/>
      <c r="B135" s="5"/>
      <c r="C135" s="8"/>
    </row>
    <row r="136" spans="1:3">
      <c r="A136" s="8"/>
      <c r="B136" s="11" t="s">
        <v>929</v>
      </c>
      <c r="C136" s="8"/>
    </row>
    <row r="137" spans="1:3">
      <c r="A137" s="8"/>
      <c r="B137" s="7" t="s">
        <v>930</v>
      </c>
      <c r="C137" s="8"/>
    </row>
    <row r="138" spans="1:3">
      <c r="A138" s="8"/>
      <c r="B138" s="5" t="s">
        <v>931</v>
      </c>
      <c r="C138" s="8"/>
    </row>
    <row r="139" spans="1:3">
      <c r="A139" s="8"/>
      <c r="B139" s="11" t="s">
        <v>932</v>
      </c>
      <c r="C139" s="8"/>
    </row>
    <row r="140" spans="1:3">
      <c r="A140" s="8"/>
      <c r="B140" s="11" t="s">
        <v>933</v>
      </c>
      <c r="C140" s="8"/>
    </row>
    <row r="141" spans="1:3">
      <c r="A141" s="8"/>
      <c r="B141" s="11"/>
      <c r="C141" s="8"/>
    </row>
    <row r="142" spans="1:3">
      <c r="A142" s="8"/>
      <c r="B142" s="11"/>
      <c r="C142" s="8"/>
    </row>
    <row r="143" spans="1:3">
      <c r="A143" s="8"/>
      <c r="B143" s="8"/>
      <c r="C143" s="8"/>
    </row>
    <row r="144" spans="1:3">
      <c r="A144" s="8"/>
      <c r="B144" s="8"/>
      <c r="C144" s="8"/>
    </row>
    <row r="145" spans="1:4">
      <c r="A145" s="8"/>
      <c r="B145" s="8"/>
      <c r="C145" s="8"/>
    </row>
    <row r="146" spans="1:4">
      <c r="A146" s="8"/>
      <c r="B146" s="8"/>
      <c r="C146" s="8"/>
    </row>
    <row r="147" spans="1:4">
      <c r="A147" s="8"/>
      <c r="B147" s="11" t="s">
        <v>934</v>
      </c>
      <c r="C147" s="8"/>
    </row>
    <row r="148" spans="1:4" ht="12.75" customHeight="1">
      <c r="A148" s="8"/>
      <c r="B148" s="5" t="s">
        <v>935</v>
      </c>
      <c r="C148" s="8"/>
    </row>
    <row r="149" spans="1:4" ht="12.75" customHeight="1">
      <c r="A149" s="8"/>
      <c r="B149" s="11" t="s">
        <v>936</v>
      </c>
      <c r="C149" s="8"/>
    </row>
    <row r="150" spans="1:4">
      <c r="A150" s="8"/>
      <c r="B150" s="11" t="s">
        <v>937</v>
      </c>
      <c r="C150" s="8"/>
    </row>
    <row r="151" spans="1:4">
      <c r="A151" s="8"/>
      <c r="B151" s="11" t="s">
        <v>938</v>
      </c>
      <c r="C151" s="8"/>
    </row>
    <row r="152" spans="1:4" ht="15.6">
      <c r="A152" s="8"/>
      <c r="B152" s="11" t="s">
        <v>939</v>
      </c>
      <c r="C152" s="8"/>
      <c r="D152" s="2"/>
    </row>
    <row r="153" spans="1:4">
      <c r="A153" s="8"/>
      <c r="B153" s="11" t="s">
        <v>940</v>
      </c>
      <c r="C153" s="8"/>
    </row>
    <row r="154" spans="1:4">
      <c r="A154" s="8"/>
      <c r="B154" s="11"/>
      <c r="C154" s="8"/>
    </row>
    <row r="155" spans="1:4" ht="17.399999999999999">
      <c r="A155" s="8"/>
      <c r="B155" s="11"/>
      <c r="C155" s="16">
        <v>3</v>
      </c>
    </row>
    <row r="156" spans="1:4" ht="17.399999999999999">
      <c r="A156" s="8"/>
      <c r="B156" s="8"/>
      <c r="C156" s="16"/>
    </row>
    <row r="157" spans="1:4">
      <c r="A157" s="17"/>
      <c r="B157" s="17"/>
      <c r="C157" s="17"/>
    </row>
    <row r="158" spans="1:4">
      <c r="A158" s="8"/>
      <c r="B158" s="8"/>
      <c r="C158" s="8"/>
    </row>
    <row r="159" spans="1:4">
      <c r="A159" s="8"/>
      <c r="B159" s="8"/>
      <c r="C159" s="8"/>
    </row>
    <row r="160" spans="1:4">
      <c r="A160" s="8"/>
      <c r="B160" s="8"/>
      <c r="C160" s="8"/>
    </row>
    <row r="161" spans="1:10">
      <c r="A161" s="8"/>
      <c r="B161" s="8"/>
      <c r="C161" s="8"/>
    </row>
    <row r="162" spans="1:10">
      <c r="A162" s="8"/>
      <c r="B162" s="8"/>
      <c r="C162" s="8"/>
    </row>
    <row r="163" spans="1:10">
      <c r="A163" s="8"/>
      <c r="B163" s="6"/>
      <c r="C163" s="6"/>
      <c r="D163" s="4"/>
      <c r="E163" s="4"/>
      <c r="F163" s="4"/>
      <c r="G163" s="4"/>
      <c r="H163" s="4"/>
      <c r="I163" s="4"/>
      <c r="J163" s="4"/>
    </row>
    <row r="164" spans="1:10">
      <c r="A164" s="8"/>
      <c r="B164" s="6"/>
      <c r="C164" s="6"/>
    </row>
    <row r="165" spans="1:10">
      <c r="A165" s="8"/>
      <c r="B165" s="8"/>
      <c r="C165" s="8"/>
    </row>
    <row r="166" spans="1:10">
      <c r="A166" s="8"/>
      <c r="B166" s="8"/>
      <c r="C166" s="8"/>
    </row>
    <row r="167" spans="1:10">
      <c r="A167" s="8"/>
      <c r="B167" s="8"/>
      <c r="C167" s="8"/>
    </row>
    <row r="168" spans="1:10">
      <c r="A168" s="8"/>
      <c r="B168" s="8"/>
      <c r="C168" s="8"/>
      <c r="D168" s="6"/>
      <c r="E168" s="6"/>
      <c r="F168" s="6"/>
      <c r="G168" s="6"/>
      <c r="H168" s="6"/>
      <c r="I168" s="6"/>
      <c r="J168" s="6"/>
    </row>
    <row r="169" spans="1:10" ht="21">
      <c r="A169" s="9"/>
      <c r="B169" s="10" t="s">
        <v>941</v>
      </c>
      <c r="C169" s="9"/>
      <c r="D169" s="6"/>
      <c r="E169" s="6"/>
      <c r="F169" s="6"/>
      <c r="G169" s="6"/>
      <c r="H169" s="6"/>
      <c r="I169" s="6"/>
      <c r="J169" s="6"/>
    </row>
    <row r="170" spans="1:10">
      <c r="A170" s="8"/>
      <c r="B170" s="11"/>
      <c r="C170" s="8"/>
      <c r="D170" s="6"/>
      <c r="E170" s="6"/>
      <c r="F170" s="6"/>
      <c r="G170" s="6"/>
      <c r="H170" s="6"/>
      <c r="I170" s="6"/>
      <c r="J170" s="6"/>
    </row>
    <row r="171" spans="1:10">
      <c r="A171" s="8"/>
      <c r="B171" s="8"/>
      <c r="C171" s="8"/>
    </row>
    <row r="172" spans="1:10">
      <c r="A172" s="8"/>
      <c r="B172" s="11" t="s">
        <v>921</v>
      </c>
      <c r="C172" s="8"/>
    </row>
    <row r="173" spans="1:10" ht="13.8">
      <c r="A173" s="8"/>
      <c r="B173" s="12" t="s">
        <v>922</v>
      </c>
      <c r="C173" s="8"/>
    </row>
    <row r="174" spans="1:10">
      <c r="A174" s="8"/>
      <c r="B174" s="8"/>
      <c r="C174" s="8"/>
    </row>
    <row r="175" spans="1:10">
      <c r="A175" s="8"/>
      <c r="B175" s="8"/>
      <c r="C175" s="8"/>
    </row>
    <row r="176" spans="1:10">
      <c r="A176" s="8"/>
      <c r="B176" s="5" t="s">
        <v>923</v>
      </c>
      <c r="C176" s="8"/>
    </row>
    <row r="177" spans="1:3" ht="24">
      <c r="A177" s="8"/>
      <c r="B177" s="13" t="s">
        <v>942</v>
      </c>
      <c r="C177" s="8"/>
    </row>
    <row r="178" spans="1:3" ht="15.6">
      <c r="A178" s="8"/>
      <c r="B178" s="2"/>
      <c r="C178" s="8"/>
    </row>
    <row r="179" spans="1:3">
      <c r="A179" s="8"/>
      <c r="B179" s="11" t="s">
        <v>924</v>
      </c>
      <c r="C179" s="8"/>
    </row>
    <row r="180" spans="1:3">
      <c r="A180" s="8"/>
      <c r="B180" s="14" t="s">
        <v>925</v>
      </c>
      <c r="C180" s="8"/>
    </row>
    <row r="181" spans="1:3">
      <c r="A181" s="8"/>
      <c r="B181" s="14" t="s">
        <v>926</v>
      </c>
      <c r="C181" s="8"/>
    </row>
    <row r="182" spans="1:3">
      <c r="A182" s="8"/>
      <c r="B182" s="5"/>
      <c r="C182" s="8"/>
    </row>
    <row r="183" spans="1:3">
      <c r="A183" s="8"/>
      <c r="B183" s="5"/>
      <c r="C183" s="8"/>
    </row>
    <row r="184" spans="1:3">
      <c r="A184" s="8"/>
      <c r="B184" s="5" t="s">
        <v>927</v>
      </c>
      <c r="C184" s="8"/>
    </row>
    <row r="185" spans="1:3">
      <c r="A185" s="8"/>
      <c r="B185" s="13" t="s">
        <v>928</v>
      </c>
      <c r="C185" s="8"/>
    </row>
    <row r="186" spans="1:3" ht="13.8">
      <c r="A186" s="15"/>
      <c r="B186" s="13" t="s">
        <v>926</v>
      </c>
      <c r="C186" s="15"/>
    </row>
    <row r="187" spans="1:3">
      <c r="A187" s="11"/>
      <c r="B187" s="11"/>
      <c r="C187" s="11"/>
    </row>
    <row r="188" spans="1:3">
      <c r="A188" s="8"/>
      <c r="B188" s="5"/>
      <c r="C188" s="8"/>
    </row>
    <row r="189" spans="1:3">
      <c r="A189" s="8"/>
      <c r="B189" s="11" t="s">
        <v>929</v>
      </c>
      <c r="C189" s="8"/>
    </row>
    <row r="190" spans="1:3">
      <c r="A190" s="8"/>
      <c r="B190" s="7" t="s">
        <v>930</v>
      </c>
      <c r="C190" s="8"/>
    </row>
    <row r="191" spans="1:3">
      <c r="A191" s="8"/>
      <c r="B191" s="5" t="s">
        <v>931</v>
      </c>
      <c r="C191" s="8"/>
    </row>
    <row r="192" spans="1:3">
      <c r="A192" s="8"/>
      <c r="B192" s="11" t="s">
        <v>932</v>
      </c>
      <c r="C192" s="8"/>
    </row>
    <row r="193" spans="1:4">
      <c r="A193" s="8"/>
      <c r="B193" s="11" t="s">
        <v>933</v>
      </c>
      <c r="C193" s="8"/>
    </row>
    <row r="194" spans="1:4">
      <c r="A194" s="8"/>
      <c r="B194" s="11"/>
      <c r="C194" s="8"/>
    </row>
    <row r="195" spans="1:4">
      <c r="A195" s="8"/>
      <c r="B195" s="11"/>
      <c r="C195" s="8"/>
    </row>
    <row r="196" spans="1:4">
      <c r="A196" s="8"/>
      <c r="B196" s="8"/>
      <c r="C196" s="8"/>
    </row>
    <row r="197" spans="1:4">
      <c r="A197" s="8"/>
      <c r="B197" s="8"/>
      <c r="C197" s="8"/>
    </row>
    <row r="198" spans="1:4">
      <c r="A198" s="8"/>
      <c r="B198" s="8"/>
      <c r="C198" s="8"/>
    </row>
    <row r="199" spans="1:4">
      <c r="A199" s="8"/>
      <c r="B199" s="8"/>
      <c r="C199" s="8"/>
    </row>
    <row r="200" spans="1:4">
      <c r="A200" s="8"/>
      <c r="B200" s="11" t="s">
        <v>934</v>
      </c>
      <c r="C200" s="8"/>
    </row>
    <row r="201" spans="1:4" ht="12.75" customHeight="1">
      <c r="A201" s="8"/>
      <c r="B201" s="5" t="s">
        <v>935</v>
      </c>
      <c r="C201" s="8"/>
    </row>
    <row r="202" spans="1:4" ht="12.75" customHeight="1">
      <c r="A202" s="8"/>
      <c r="B202" s="11" t="s">
        <v>936</v>
      </c>
      <c r="C202" s="8"/>
    </row>
    <row r="203" spans="1:4">
      <c r="A203" s="8"/>
      <c r="B203" s="11" t="s">
        <v>937</v>
      </c>
      <c r="C203" s="8"/>
    </row>
    <row r="204" spans="1:4">
      <c r="A204" s="8"/>
      <c r="B204" s="11" t="s">
        <v>938</v>
      </c>
      <c r="C204" s="8"/>
    </row>
    <row r="205" spans="1:4" ht="15.6">
      <c r="A205" s="8"/>
      <c r="B205" s="11" t="s">
        <v>939</v>
      </c>
      <c r="C205" s="8"/>
      <c r="D205" s="2"/>
    </row>
    <row r="206" spans="1:4">
      <c r="A206" s="8"/>
      <c r="B206" s="11" t="s">
        <v>940</v>
      </c>
      <c r="C206" s="8"/>
    </row>
    <row r="207" spans="1:4">
      <c r="A207" s="8"/>
      <c r="B207" s="11"/>
      <c r="C207" s="8"/>
    </row>
    <row r="208" spans="1:4" ht="17.399999999999999">
      <c r="A208" s="8"/>
      <c r="B208" s="11"/>
      <c r="C208" s="16">
        <v>4</v>
      </c>
    </row>
    <row r="209" spans="1:10" ht="17.399999999999999">
      <c r="A209" s="8"/>
      <c r="B209" s="8"/>
      <c r="C209" s="16"/>
    </row>
    <row r="210" spans="1:10">
      <c r="A210" s="17"/>
      <c r="B210" s="17"/>
      <c r="C210" s="17"/>
    </row>
    <row r="211" spans="1:10">
      <c r="A211" s="8"/>
      <c r="B211" s="8"/>
      <c r="C211" s="8"/>
    </row>
    <row r="212" spans="1:10" ht="12.6">
      <c r="A212" s="276"/>
      <c r="B212" s="276"/>
      <c r="C212" s="276"/>
    </row>
    <row r="213" spans="1:10" ht="12.6">
      <c r="A213" s="276"/>
      <c r="B213" s="276"/>
      <c r="C213" s="276"/>
    </row>
    <row r="214" spans="1:10">
      <c r="A214" s="8"/>
      <c r="B214" s="8"/>
      <c r="C214" s="8"/>
    </row>
    <row r="215" spans="1:10">
      <c r="A215" s="8"/>
      <c r="B215" s="8"/>
      <c r="C215" s="8"/>
    </row>
    <row r="216" spans="1:10">
      <c r="A216" s="8"/>
      <c r="B216" s="6"/>
      <c r="C216" s="6"/>
      <c r="D216" s="4"/>
      <c r="E216" s="4"/>
      <c r="F216" s="4"/>
      <c r="G216" s="4"/>
      <c r="H216" s="4"/>
      <c r="I216" s="4"/>
      <c r="J216" s="4"/>
    </row>
    <row r="217" spans="1:10">
      <c r="A217" s="8"/>
      <c r="B217" s="6"/>
      <c r="C217" s="6"/>
    </row>
    <row r="218" spans="1:10">
      <c r="A218" s="8"/>
      <c r="B218" s="8"/>
      <c r="C218" s="8"/>
    </row>
    <row r="219" spans="1:10">
      <c r="A219" s="8"/>
      <c r="B219" s="8"/>
      <c r="C219" s="8"/>
    </row>
    <row r="220" spans="1:10">
      <c r="A220" s="8"/>
      <c r="B220" s="8"/>
      <c r="C220" s="8"/>
    </row>
    <row r="221" spans="1:10">
      <c r="A221" s="8"/>
      <c r="B221" s="8"/>
      <c r="C221" s="8"/>
      <c r="D221" s="6"/>
      <c r="E221" s="6"/>
      <c r="F221" s="6"/>
      <c r="G221" s="6"/>
      <c r="H221" s="6"/>
      <c r="I221" s="6"/>
      <c r="J221" s="6"/>
    </row>
    <row r="222" spans="1:10" ht="21">
      <c r="A222" s="9"/>
      <c r="B222" s="10" t="s">
        <v>941</v>
      </c>
      <c r="C222" s="9"/>
      <c r="D222" s="6"/>
      <c r="E222" s="6"/>
      <c r="F222" s="6"/>
      <c r="G222" s="6"/>
      <c r="H222" s="6"/>
      <c r="I222" s="6"/>
      <c r="J222" s="6"/>
    </row>
    <row r="223" spans="1:10">
      <c r="A223" s="8"/>
      <c r="B223" s="11"/>
      <c r="C223" s="8"/>
      <c r="D223" s="6"/>
      <c r="E223" s="6"/>
      <c r="F223" s="6"/>
      <c r="G223" s="6"/>
      <c r="H223" s="6"/>
      <c r="I223" s="6"/>
      <c r="J223" s="6"/>
    </row>
    <row r="224" spans="1:10">
      <c r="A224" s="8"/>
      <c r="B224" s="8"/>
      <c r="C224" s="8"/>
    </row>
    <row r="225" spans="1:3">
      <c r="A225" s="8"/>
      <c r="B225" s="11" t="s">
        <v>921</v>
      </c>
      <c r="C225" s="8"/>
    </row>
    <row r="226" spans="1:3" ht="13.8">
      <c r="A226" s="8"/>
      <c r="B226" s="12" t="s">
        <v>922</v>
      </c>
      <c r="C226" s="8"/>
    </row>
    <row r="227" spans="1:3">
      <c r="A227" s="8"/>
      <c r="B227" s="8"/>
      <c r="C227" s="8"/>
    </row>
    <row r="228" spans="1:3">
      <c r="A228" s="8"/>
      <c r="B228" s="8"/>
      <c r="C228" s="8"/>
    </row>
    <row r="229" spans="1:3">
      <c r="A229" s="8"/>
      <c r="B229" s="5" t="s">
        <v>923</v>
      </c>
      <c r="C229" s="8"/>
    </row>
    <row r="230" spans="1:3" ht="24">
      <c r="A230" s="8"/>
      <c r="B230" s="13" t="s">
        <v>1</v>
      </c>
      <c r="C230" s="8"/>
    </row>
    <row r="231" spans="1:3" ht="15.6">
      <c r="A231" s="8"/>
      <c r="B231" s="2"/>
      <c r="C231" s="8"/>
    </row>
    <row r="232" spans="1:3">
      <c r="A232" s="8"/>
      <c r="B232" s="11" t="s">
        <v>924</v>
      </c>
      <c r="C232" s="8"/>
    </row>
    <row r="233" spans="1:3">
      <c r="A233" s="8"/>
      <c r="B233" s="14" t="s">
        <v>925</v>
      </c>
      <c r="C233" s="8"/>
    </row>
    <row r="234" spans="1:3">
      <c r="A234" s="8"/>
      <c r="B234" s="14" t="s">
        <v>926</v>
      </c>
      <c r="C234" s="8"/>
    </row>
    <row r="235" spans="1:3">
      <c r="A235" s="8"/>
      <c r="B235" s="5"/>
      <c r="C235" s="8"/>
    </row>
    <row r="236" spans="1:3">
      <c r="A236" s="8"/>
      <c r="B236" s="5"/>
      <c r="C236" s="8"/>
    </row>
    <row r="237" spans="1:3">
      <c r="A237" s="8"/>
      <c r="B237" s="5" t="s">
        <v>927</v>
      </c>
      <c r="C237" s="8"/>
    </row>
    <row r="238" spans="1:3">
      <c r="A238" s="8"/>
      <c r="B238" s="13" t="s">
        <v>928</v>
      </c>
      <c r="C238" s="8"/>
    </row>
    <row r="239" spans="1:3" ht="13.8">
      <c r="A239" s="15"/>
      <c r="B239" s="13" t="s">
        <v>926</v>
      </c>
      <c r="C239" s="15"/>
    </row>
    <row r="240" spans="1:3">
      <c r="A240" s="11"/>
      <c r="B240" s="11"/>
      <c r="C240" s="11"/>
    </row>
    <row r="241" spans="1:3">
      <c r="A241" s="8"/>
      <c r="B241" s="5"/>
      <c r="C241" s="8"/>
    </row>
    <row r="242" spans="1:3">
      <c r="A242" s="8"/>
      <c r="B242" s="11" t="s">
        <v>929</v>
      </c>
      <c r="C242" s="8"/>
    </row>
    <row r="243" spans="1:3">
      <c r="A243" s="8"/>
      <c r="B243" s="7" t="s">
        <v>930</v>
      </c>
      <c r="C243" s="8"/>
    </row>
    <row r="244" spans="1:3">
      <c r="A244" s="8"/>
      <c r="B244" s="5" t="s">
        <v>931</v>
      </c>
      <c r="C244" s="8"/>
    </row>
    <row r="245" spans="1:3">
      <c r="A245" s="8"/>
      <c r="B245" s="11" t="s">
        <v>932</v>
      </c>
      <c r="C245" s="8"/>
    </row>
    <row r="246" spans="1:3">
      <c r="A246" s="8"/>
      <c r="B246" s="11" t="s">
        <v>933</v>
      </c>
      <c r="C246" s="8"/>
    </row>
    <row r="247" spans="1:3">
      <c r="A247" s="8"/>
      <c r="B247" s="11"/>
      <c r="C247" s="8"/>
    </row>
    <row r="248" spans="1:3">
      <c r="A248" s="8"/>
      <c r="B248" s="11"/>
      <c r="C248" s="8"/>
    </row>
    <row r="249" spans="1:3">
      <c r="A249" s="8"/>
      <c r="B249" s="8"/>
      <c r="C249" s="8"/>
    </row>
    <row r="250" spans="1:3">
      <c r="A250" s="8"/>
      <c r="B250" s="8"/>
      <c r="C250" s="8"/>
    </row>
    <row r="251" spans="1:3">
      <c r="A251" s="8"/>
      <c r="B251" s="8"/>
      <c r="C251" s="8"/>
    </row>
    <row r="252" spans="1:3">
      <c r="A252" s="8"/>
      <c r="B252" s="8"/>
      <c r="C252" s="8"/>
    </row>
    <row r="253" spans="1:3">
      <c r="A253" s="8"/>
      <c r="B253" s="11" t="s">
        <v>934</v>
      </c>
      <c r="C253" s="8"/>
    </row>
    <row r="254" spans="1:3" ht="12.75" customHeight="1">
      <c r="A254" s="8"/>
      <c r="B254" s="5" t="s">
        <v>935</v>
      </c>
      <c r="C254" s="8"/>
    </row>
    <row r="255" spans="1:3" ht="12.75" customHeight="1">
      <c r="A255" s="8"/>
      <c r="B255" s="11" t="s">
        <v>936</v>
      </c>
      <c r="C255" s="8"/>
    </row>
    <row r="256" spans="1:3">
      <c r="A256" s="8"/>
      <c r="B256" s="11" t="s">
        <v>937</v>
      </c>
      <c r="C256" s="8"/>
    </row>
    <row r="257" spans="1:3">
      <c r="A257" s="8"/>
      <c r="B257" s="11" t="s">
        <v>938</v>
      </c>
      <c r="C257" s="8"/>
    </row>
    <row r="258" spans="1:3">
      <c r="A258" s="8"/>
      <c r="B258" s="11" t="s">
        <v>939</v>
      </c>
      <c r="C258" s="8"/>
    </row>
    <row r="259" spans="1:3">
      <c r="A259" s="8"/>
      <c r="B259" s="11" t="s">
        <v>940</v>
      </c>
      <c r="C259" s="8"/>
    </row>
    <row r="260" spans="1:3">
      <c r="A260" s="8"/>
      <c r="B260" s="11"/>
      <c r="C260" s="8"/>
    </row>
    <row r="261" spans="1:3" ht="17.399999999999999">
      <c r="A261" s="8"/>
      <c r="B261" s="11"/>
      <c r="C261" s="16">
        <v>5</v>
      </c>
    </row>
    <row r="262" spans="1:3" ht="17.399999999999999">
      <c r="A262" s="8"/>
      <c r="B262" s="8"/>
      <c r="C262" s="16"/>
    </row>
    <row r="263" spans="1:3">
      <c r="A263" s="17"/>
      <c r="B263" s="17"/>
      <c r="C263" s="17"/>
    </row>
    <row r="264" spans="1:3">
      <c r="A264" s="8"/>
      <c r="B264" s="8"/>
      <c r="C264" s="8"/>
    </row>
    <row r="265" spans="1:3">
      <c r="A265" s="8"/>
      <c r="B265" s="8"/>
      <c r="C265" s="8"/>
    </row>
    <row r="266" spans="1:3">
      <c r="A266" s="8"/>
      <c r="B266" s="8"/>
      <c r="C266" s="8"/>
    </row>
    <row r="267" spans="1:3">
      <c r="A267" s="8"/>
      <c r="B267" s="8"/>
      <c r="C267" s="8"/>
    </row>
    <row r="268" spans="1:3">
      <c r="A268" s="8"/>
      <c r="B268" s="8"/>
      <c r="C268" s="8"/>
    </row>
    <row r="269" spans="1:3">
      <c r="A269" s="8"/>
      <c r="B269" s="6"/>
      <c r="C269" s="6"/>
    </row>
    <row r="270" spans="1:3">
      <c r="A270" s="8"/>
      <c r="B270" s="6"/>
      <c r="C270" s="6"/>
    </row>
    <row r="271" spans="1:3">
      <c r="A271" s="8"/>
      <c r="B271" s="8"/>
      <c r="C271" s="8"/>
    </row>
    <row r="272" spans="1:3">
      <c r="A272" s="8"/>
      <c r="B272" s="8"/>
      <c r="C272" s="8"/>
    </row>
    <row r="273" spans="1:3">
      <c r="A273" s="8"/>
      <c r="B273" s="8"/>
      <c r="C273" s="8"/>
    </row>
    <row r="274" spans="1:3">
      <c r="A274" s="8"/>
      <c r="B274" s="8"/>
      <c r="C274" s="8"/>
    </row>
    <row r="275" spans="1:3" ht="21">
      <c r="A275" s="9"/>
      <c r="B275" s="10" t="s">
        <v>941</v>
      </c>
      <c r="C275" s="9"/>
    </row>
    <row r="276" spans="1:3">
      <c r="A276" s="8"/>
      <c r="B276" s="11"/>
      <c r="C276" s="8"/>
    </row>
    <row r="277" spans="1:3">
      <c r="A277" s="8"/>
      <c r="B277" s="8"/>
      <c r="C277" s="8"/>
    </row>
    <row r="278" spans="1:3">
      <c r="A278" s="8"/>
      <c r="B278" s="11" t="s">
        <v>921</v>
      </c>
      <c r="C278" s="8"/>
    </row>
    <row r="279" spans="1:3" ht="13.8">
      <c r="A279" s="8"/>
      <c r="B279" s="12" t="s">
        <v>922</v>
      </c>
      <c r="C279" s="8"/>
    </row>
    <row r="280" spans="1:3">
      <c r="A280" s="8"/>
      <c r="B280" s="8"/>
      <c r="C280" s="8"/>
    </row>
    <row r="281" spans="1:3">
      <c r="A281" s="8"/>
      <c r="B281" s="8"/>
      <c r="C281" s="8"/>
    </row>
    <row r="282" spans="1:3">
      <c r="A282" s="8"/>
      <c r="B282" s="5" t="s">
        <v>923</v>
      </c>
      <c r="C282" s="8"/>
    </row>
    <row r="283" spans="1:3" ht="24">
      <c r="A283" s="8"/>
      <c r="B283" s="13" t="s">
        <v>1</v>
      </c>
      <c r="C283" s="8"/>
    </row>
    <row r="284" spans="1:3" ht="15.6">
      <c r="A284" s="8"/>
      <c r="B284" s="2"/>
      <c r="C284" s="8"/>
    </row>
    <row r="285" spans="1:3">
      <c r="A285" s="8"/>
      <c r="B285" s="11" t="s">
        <v>924</v>
      </c>
      <c r="C285" s="8"/>
    </row>
    <row r="286" spans="1:3">
      <c r="A286" s="8"/>
      <c r="B286" s="14" t="s">
        <v>925</v>
      </c>
      <c r="C286" s="8"/>
    </row>
    <row r="287" spans="1:3">
      <c r="A287" s="8"/>
      <c r="B287" s="14" t="s">
        <v>926</v>
      </c>
      <c r="C287" s="8"/>
    </row>
    <row r="288" spans="1:3">
      <c r="A288" s="8"/>
      <c r="B288" s="5"/>
      <c r="C288" s="8"/>
    </row>
    <row r="289" spans="1:3">
      <c r="A289" s="8"/>
      <c r="B289" s="5"/>
      <c r="C289" s="8"/>
    </row>
    <row r="290" spans="1:3">
      <c r="A290" s="8"/>
      <c r="B290" s="5" t="s">
        <v>927</v>
      </c>
      <c r="C290" s="8"/>
    </row>
    <row r="291" spans="1:3">
      <c r="A291" s="8"/>
      <c r="B291" s="13" t="s">
        <v>928</v>
      </c>
      <c r="C291" s="8"/>
    </row>
    <row r="292" spans="1:3" ht="13.8">
      <c r="A292" s="15"/>
      <c r="B292" s="13" t="s">
        <v>926</v>
      </c>
      <c r="C292" s="15"/>
    </row>
    <row r="293" spans="1:3">
      <c r="A293" s="11"/>
      <c r="B293" s="11"/>
      <c r="C293" s="11"/>
    </row>
    <row r="294" spans="1:3">
      <c r="A294" s="8"/>
      <c r="B294" s="5"/>
      <c r="C294" s="8"/>
    </row>
    <row r="295" spans="1:3">
      <c r="A295" s="8"/>
      <c r="B295" s="11" t="s">
        <v>929</v>
      </c>
      <c r="C295" s="8"/>
    </row>
    <row r="296" spans="1:3">
      <c r="A296" s="8"/>
      <c r="B296" s="7" t="s">
        <v>930</v>
      </c>
      <c r="C296" s="8"/>
    </row>
    <row r="297" spans="1:3">
      <c r="A297" s="8"/>
      <c r="B297" s="5" t="s">
        <v>931</v>
      </c>
      <c r="C297" s="8"/>
    </row>
    <row r="298" spans="1:3">
      <c r="A298" s="8"/>
      <c r="B298" s="11" t="s">
        <v>932</v>
      </c>
      <c r="C298" s="8"/>
    </row>
    <row r="299" spans="1:3" ht="12.75" customHeight="1">
      <c r="A299" s="8"/>
      <c r="B299" s="11" t="s">
        <v>933</v>
      </c>
      <c r="C299" s="8"/>
    </row>
    <row r="300" spans="1:3" ht="12.75" customHeight="1">
      <c r="A300" s="8"/>
      <c r="B300" s="11"/>
      <c r="C300" s="8"/>
    </row>
    <row r="301" spans="1:3">
      <c r="A301" s="8"/>
      <c r="B301" s="11"/>
      <c r="C301" s="8"/>
    </row>
    <row r="302" spans="1:3">
      <c r="A302" s="8"/>
      <c r="B302" s="8"/>
      <c r="C302" s="8"/>
    </row>
    <row r="303" spans="1:3">
      <c r="A303" s="8"/>
      <c r="B303" s="8"/>
      <c r="C303" s="8"/>
    </row>
    <row r="304" spans="1:3">
      <c r="A304" s="8"/>
      <c r="B304" s="8"/>
      <c r="C304" s="8"/>
    </row>
    <row r="305" spans="1:3">
      <c r="A305" s="8"/>
      <c r="B305" s="8"/>
      <c r="C305" s="8"/>
    </row>
    <row r="306" spans="1:3">
      <c r="A306" s="8"/>
      <c r="B306" s="11" t="s">
        <v>934</v>
      </c>
      <c r="C306" s="8"/>
    </row>
    <row r="307" spans="1:3">
      <c r="A307" s="8"/>
      <c r="B307" s="5" t="s">
        <v>935</v>
      </c>
      <c r="C307" s="8"/>
    </row>
    <row r="308" spans="1:3">
      <c r="A308" s="8"/>
      <c r="B308" s="11" t="s">
        <v>936</v>
      </c>
      <c r="C308" s="8"/>
    </row>
    <row r="309" spans="1:3">
      <c r="A309" s="8"/>
      <c r="B309" s="11" t="s">
        <v>937</v>
      </c>
      <c r="C309" s="8"/>
    </row>
    <row r="310" spans="1:3">
      <c r="A310" s="8"/>
      <c r="B310" s="11" t="s">
        <v>938</v>
      </c>
      <c r="C310" s="8"/>
    </row>
    <row r="311" spans="1:3">
      <c r="A311" s="8"/>
      <c r="B311" s="11" t="s">
        <v>939</v>
      </c>
      <c r="C311" s="8"/>
    </row>
    <row r="312" spans="1:3">
      <c r="A312" s="8"/>
      <c r="B312" s="11" t="s">
        <v>940</v>
      </c>
      <c r="C312" s="8"/>
    </row>
    <row r="313" spans="1:3">
      <c r="A313" s="8"/>
      <c r="B313" s="11"/>
      <c r="C313" s="8"/>
    </row>
    <row r="314" spans="1:3" ht="17.399999999999999">
      <c r="A314" s="8"/>
      <c r="B314" s="11"/>
      <c r="C314" s="16">
        <v>6</v>
      </c>
    </row>
    <row r="315" spans="1:3" ht="17.399999999999999">
      <c r="A315" s="8"/>
      <c r="B315" s="8"/>
      <c r="C315" s="16"/>
    </row>
    <row r="316" spans="1:3">
      <c r="A316" s="17"/>
      <c r="B316" s="17"/>
      <c r="C316" s="17"/>
    </row>
    <row r="317" spans="1:3">
      <c r="A317" s="8"/>
      <c r="B317" s="8"/>
      <c r="C317" s="8"/>
    </row>
    <row r="318" spans="1:3">
      <c r="A318" s="8"/>
      <c r="B318" s="8"/>
      <c r="C318" s="8"/>
    </row>
    <row r="319" spans="1:3">
      <c r="A319" s="8"/>
      <c r="B319" s="8"/>
      <c r="C319" s="8"/>
    </row>
    <row r="320" spans="1:3">
      <c r="A320" s="8"/>
      <c r="B320" s="8"/>
      <c r="C320" s="8"/>
    </row>
    <row r="321" spans="1:3">
      <c r="A321" s="8"/>
      <c r="B321" s="8"/>
      <c r="C321" s="8"/>
    </row>
    <row r="322" spans="1:3">
      <c r="A322" s="8"/>
      <c r="B322" s="6"/>
      <c r="C322" s="6"/>
    </row>
    <row r="323" spans="1:3">
      <c r="A323" s="8"/>
      <c r="B323" s="6"/>
      <c r="C323" s="6"/>
    </row>
    <row r="324" spans="1:3">
      <c r="A324" s="8"/>
      <c r="B324" s="8"/>
      <c r="C324" s="8"/>
    </row>
    <row r="325" spans="1:3">
      <c r="A325" s="8"/>
      <c r="B325" s="8"/>
      <c r="C325" s="8"/>
    </row>
    <row r="326" spans="1:3">
      <c r="A326" s="8"/>
      <c r="B326" s="8"/>
      <c r="C326" s="8"/>
    </row>
    <row r="327" spans="1:3">
      <c r="A327" s="8"/>
      <c r="B327" s="8"/>
      <c r="C327" s="8"/>
    </row>
    <row r="328" spans="1:3" ht="21">
      <c r="A328" s="9"/>
      <c r="B328" s="10" t="s">
        <v>941</v>
      </c>
      <c r="C328" s="9"/>
    </row>
    <row r="329" spans="1:3">
      <c r="A329" s="8"/>
      <c r="B329" s="11"/>
      <c r="C329" s="8"/>
    </row>
    <row r="330" spans="1:3">
      <c r="A330" s="8"/>
      <c r="B330" s="8"/>
      <c r="C330" s="8"/>
    </row>
    <row r="331" spans="1:3">
      <c r="A331" s="8"/>
      <c r="B331" s="11" t="s">
        <v>921</v>
      </c>
      <c r="C331" s="8"/>
    </row>
    <row r="332" spans="1:3" ht="13.8">
      <c r="A332" s="8"/>
      <c r="B332" s="12" t="s">
        <v>922</v>
      </c>
      <c r="C332" s="8"/>
    </row>
    <row r="333" spans="1:3">
      <c r="A333" s="8"/>
      <c r="B333" s="8"/>
      <c r="C333" s="8"/>
    </row>
    <row r="334" spans="1:3">
      <c r="A334" s="8"/>
      <c r="B334" s="8"/>
      <c r="C334" s="8"/>
    </row>
    <row r="335" spans="1:3">
      <c r="A335" s="8"/>
      <c r="B335" s="5" t="s">
        <v>923</v>
      </c>
      <c r="C335" s="8"/>
    </row>
    <row r="336" spans="1:3" ht="24">
      <c r="A336" s="8"/>
      <c r="B336" s="13" t="s">
        <v>943</v>
      </c>
      <c r="C336" s="8"/>
    </row>
    <row r="337" spans="1:3" ht="15.6">
      <c r="A337" s="8"/>
      <c r="B337" s="2"/>
      <c r="C337" s="8"/>
    </row>
    <row r="338" spans="1:3">
      <c r="A338" s="8"/>
      <c r="B338" s="11" t="s">
        <v>924</v>
      </c>
      <c r="C338" s="8"/>
    </row>
    <row r="339" spans="1:3">
      <c r="A339" s="8"/>
      <c r="B339" s="14" t="s">
        <v>925</v>
      </c>
      <c r="C339" s="8"/>
    </row>
    <row r="340" spans="1:3">
      <c r="A340" s="8"/>
      <c r="B340" s="14" t="s">
        <v>926</v>
      </c>
      <c r="C340" s="8"/>
    </row>
    <row r="341" spans="1:3">
      <c r="A341" s="8"/>
      <c r="B341" s="5"/>
      <c r="C341" s="8"/>
    </row>
    <row r="342" spans="1:3">
      <c r="A342" s="8"/>
      <c r="B342" s="5"/>
      <c r="C342" s="8"/>
    </row>
    <row r="343" spans="1:3">
      <c r="A343" s="8"/>
      <c r="B343" s="5" t="s">
        <v>927</v>
      </c>
      <c r="C343" s="8"/>
    </row>
    <row r="344" spans="1:3">
      <c r="A344" s="8"/>
      <c r="B344" s="13" t="s">
        <v>928</v>
      </c>
      <c r="C344" s="8"/>
    </row>
    <row r="345" spans="1:3" ht="13.8">
      <c r="A345" s="15"/>
      <c r="B345" s="13" t="s">
        <v>926</v>
      </c>
      <c r="C345" s="15"/>
    </row>
    <row r="346" spans="1:3">
      <c r="A346" s="11"/>
      <c r="B346" s="11"/>
      <c r="C346" s="11"/>
    </row>
    <row r="347" spans="1:3">
      <c r="A347" s="8"/>
      <c r="B347" s="5"/>
      <c r="C347" s="8"/>
    </row>
    <row r="348" spans="1:3">
      <c r="A348" s="8"/>
      <c r="B348" s="11" t="s">
        <v>929</v>
      </c>
      <c r="C348" s="8"/>
    </row>
    <row r="349" spans="1:3">
      <c r="A349" s="8"/>
      <c r="B349" s="7" t="s">
        <v>930</v>
      </c>
      <c r="C349" s="8"/>
    </row>
    <row r="350" spans="1:3">
      <c r="A350" s="8"/>
      <c r="B350" s="5" t="s">
        <v>931</v>
      </c>
      <c r="C350" s="8"/>
    </row>
    <row r="351" spans="1:3">
      <c r="A351" s="8"/>
      <c r="B351" s="11" t="s">
        <v>932</v>
      </c>
      <c r="C351" s="8"/>
    </row>
    <row r="352" spans="1:3">
      <c r="A352" s="8"/>
      <c r="B352" s="11" t="s">
        <v>933</v>
      </c>
      <c r="C352" s="8"/>
    </row>
    <row r="353" spans="1:3">
      <c r="A353" s="8"/>
      <c r="B353" s="11"/>
      <c r="C353" s="8"/>
    </row>
    <row r="354" spans="1:3">
      <c r="A354" s="8"/>
      <c r="B354" s="11"/>
      <c r="C354" s="8"/>
    </row>
    <row r="355" spans="1:3">
      <c r="A355" s="8"/>
      <c r="B355" s="8"/>
      <c r="C355" s="8"/>
    </row>
    <row r="356" spans="1:3">
      <c r="A356" s="8"/>
      <c r="B356" s="8"/>
      <c r="C356" s="8"/>
    </row>
    <row r="357" spans="1:3">
      <c r="A357" s="8"/>
      <c r="B357" s="8"/>
      <c r="C357" s="8"/>
    </row>
    <row r="358" spans="1:3">
      <c r="A358" s="8"/>
      <c r="B358" s="8"/>
      <c r="C358" s="8"/>
    </row>
    <row r="359" spans="1:3">
      <c r="A359" s="8"/>
      <c r="B359" s="11" t="s">
        <v>934</v>
      </c>
      <c r="C359" s="8"/>
    </row>
    <row r="360" spans="1:3">
      <c r="A360" s="8"/>
      <c r="B360" s="5" t="s">
        <v>935</v>
      </c>
      <c r="C360" s="8"/>
    </row>
    <row r="361" spans="1:3">
      <c r="A361" s="8"/>
      <c r="B361" s="11" t="s">
        <v>936</v>
      </c>
      <c r="C361" s="8"/>
    </row>
    <row r="362" spans="1:3">
      <c r="A362" s="8"/>
      <c r="B362" s="11" t="s">
        <v>937</v>
      </c>
      <c r="C362" s="8"/>
    </row>
    <row r="363" spans="1:3">
      <c r="A363" s="8"/>
      <c r="B363" s="11" t="s">
        <v>938</v>
      </c>
      <c r="C363" s="8"/>
    </row>
    <row r="364" spans="1:3">
      <c r="A364" s="8"/>
      <c r="B364" s="11" t="s">
        <v>939</v>
      </c>
      <c r="C364" s="8"/>
    </row>
    <row r="365" spans="1:3">
      <c r="A365" s="8"/>
      <c r="B365" s="11" t="s">
        <v>940</v>
      </c>
      <c r="C365" s="8"/>
    </row>
    <row r="366" spans="1:3">
      <c r="A366" s="8"/>
      <c r="B366" s="11"/>
      <c r="C366" s="8"/>
    </row>
    <row r="367" spans="1:3" ht="17.399999999999999">
      <c r="A367" s="8"/>
      <c r="B367" s="11"/>
      <c r="C367" s="16">
        <v>7</v>
      </c>
    </row>
    <row r="368" spans="1:3" ht="17.399999999999999">
      <c r="A368" s="8"/>
      <c r="B368" s="8"/>
      <c r="C368" s="16"/>
    </row>
    <row r="369" spans="1:3">
      <c r="A369" s="17"/>
      <c r="B369" s="17"/>
      <c r="C369" s="17"/>
    </row>
    <row r="370" spans="1:3">
      <c r="A370" s="8"/>
      <c r="B370" s="8"/>
      <c r="C370" s="8"/>
    </row>
    <row r="371" spans="1:3">
      <c r="A371" s="8"/>
      <c r="B371" s="8"/>
      <c r="C371" s="8"/>
    </row>
    <row r="372" spans="1:3">
      <c r="A372" s="8"/>
      <c r="B372" s="8"/>
      <c r="C372" s="8"/>
    </row>
    <row r="373" spans="1:3">
      <c r="A373" s="8"/>
      <c r="B373" s="8"/>
      <c r="C373" s="8"/>
    </row>
    <row r="374" spans="1:3">
      <c r="A374" s="8"/>
      <c r="B374" s="8"/>
      <c r="C374" s="8"/>
    </row>
    <row r="375" spans="1:3">
      <c r="A375" s="8"/>
      <c r="B375" s="8"/>
      <c r="C375" s="8"/>
    </row>
    <row r="376" spans="1:3">
      <c r="A376" s="8"/>
      <c r="B376" s="8"/>
      <c r="C376" s="8"/>
    </row>
    <row r="377" spans="1:3">
      <c r="A377" s="8"/>
      <c r="B377" s="8"/>
      <c r="C377" s="8"/>
    </row>
    <row r="378" spans="1:3">
      <c r="A378" s="8"/>
      <c r="B378" s="8"/>
      <c r="C378" s="8"/>
    </row>
    <row r="379" spans="1:3">
      <c r="A379" s="8"/>
      <c r="B379" s="8"/>
      <c r="C379" s="8"/>
    </row>
  </sheetData>
  <mergeCells count="1">
    <mergeCell ref="A212:C21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ADC3D3432EF045B83E4FF049C0EF75" ma:contentTypeVersion="2" ma:contentTypeDescription="Vytvoří nový dokument" ma:contentTypeScope="" ma:versionID="50e5123666df03652810aa6956e4de29">
  <xsd:schema xmlns:xsd="http://www.w3.org/2001/XMLSchema" xmlns:xs="http://www.w3.org/2001/XMLSchema" xmlns:p="http://schemas.microsoft.com/office/2006/metadata/properties" xmlns:ns2="9e901002-42fc-479d-bd44-b55d44aaa772" targetNamespace="http://schemas.microsoft.com/office/2006/metadata/properties" ma:root="true" ma:fieldsID="53b79356efe2e28f3d49f6a76102fb90" ns2:_="">
    <xsd:import namespace="9e901002-42fc-479d-bd44-b55d44aaa7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901002-42fc-479d-bd44-b55d44aaa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899E88-D2C9-4E31-A893-A86A1996A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901002-42fc-479d-bd44-b55d44aaa7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69B640-64A8-4429-BCB3-D85002EBD7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SoupisStavebníchPrací a Dodáv. </vt:lpstr>
      <vt:lpstr> ROZPOČET fin</vt:lpstr>
      <vt:lpstr>titl SSPD</vt:lpstr>
      <vt:lpstr> titl ROZ</vt:lpstr>
      <vt:lpstr>'SoupisStavebníchPrací a Dodáv. '!Názvy_tisku</vt:lpstr>
      <vt:lpstr>'SoupisStavebníchPrací a Dodáv. '!Oblast_tisku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Milena</dc:creator>
  <cp:keywords/>
  <dc:description/>
  <cp:lastModifiedBy>Tomekarchitekti</cp:lastModifiedBy>
  <cp:revision/>
  <dcterms:created xsi:type="dcterms:W3CDTF">2011-12-18T09:20:50Z</dcterms:created>
  <dcterms:modified xsi:type="dcterms:W3CDTF">2023-02-07T23:26:28Z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0x010100DAADC3D3432EF045B83E4FF049C0EF75</vt:lpwstr>
  </property>
</Properties>
</file>